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\HTFlux\resources\B_A_U_P_H_Y_S_I_K\TRANSIENTES\"/>
    </mc:Choice>
  </mc:AlternateContent>
  <bookViews>
    <workbookView xWindow="0" yWindow="0" windowWidth="23220" windowHeight="12570"/>
  </bookViews>
  <sheets>
    <sheet name="Rechner" sheetId="1" r:id="rId1"/>
    <sheet name="Validierungsbeispiel" sheetId="7" r:id="rId2"/>
  </sheets>
  <definedNames>
    <definedName name="_xlnm.Print_Area" localSheetId="0">Rechner!$A$1:$S$35</definedName>
    <definedName name="_xlnm.Print_Area" localSheetId="1">Validierungsbeispiel!$A$1:$S$35</definedName>
  </definedNames>
  <calcPr calcId="152511"/>
</workbook>
</file>

<file path=xl/calcChain.xml><?xml version="1.0" encoding="utf-8"?>
<calcChain xmlns="http://schemas.openxmlformats.org/spreadsheetml/2006/main">
  <c r="V52" i="7" l="1"/>
  <c r="U52" i="7"/>
  <c r="T52" i="7"/>
  <c r="Q51" i="7"/>
  <c r="M51" i="7"/>
  <c r="S51" i="7" s="1"/>
  <c r="L51" i="7"/>
  <c r="P51" i="7" s="1"/>
  <c r="U51" i="7" s="1"/>
  <c r="K51" i="7"/>
  <c r="O51" i="7" s="1"/>
  <c r="J51" i="7"/>
  <c r="M50" i="7"/>
  <c r="K50" i="7"/>
  <c r="R50" i="7" s="1"/>
  <c r="J50" i="7"/>
  <c r="L50" i="7" s="1"/>
  <c r="Q49" i="7"/>
  <c r="M49" i="7"/>
  <c r="S49" i="7" s="1"/>
  <c r="L49" i="7"/>
  <c r="P49" i="7" s="1"/>
  <c r="U49" i="7" s="1"/>
  <c r="K49" i="7"/>
  <c r="O49" i="7" s="1"/>
  <c r="J49" i="7"/>
  <c r="R48" i="7"/>
  <c r="N48" i="7"/>
  <c r="M48" i="7"/>
  <c r="S48" i="7" s="1"/>
  <c r="K48" i="7"/>
  <c r="O48" i="7" s="1"/>
  <c r="J48" i="7"/>
  <c r="L48" i="7" s="1"/>
  <c r="M47" i="7"/>
  <c r="L47" i="7"/>
  <c r="Q47" i="7" s="1"/>
  <c r="K47" i="7"/>
  <c r="S47" i="7" s="1"/>
  <c r="J47" i="7"/>
  <c r="M46" i="7"/>
  <c r="L46" i="7"/>
  <c r="P46" i="7" s="1"/>
  <c r="K46" i="7"/>
  <c r="S46" i="7" s="1"/>
  <c r="J46" i="7"/>
  <c r="M45" i="7"/>
  <c r="L45" i="7"/>
  <c r="K45" i="7"/>
  <c r="S45" i="7" s="1"/>
  <c r="J45" i="7"/>
  <c r="J44" i="7"/>
  <c r="M44" i="7" s="1"/>
  <c r="Q43" i="7"/>
  <c r="M43" i="7"/>
  <c r="S43" i="7" s="1"/>
  <c r="L43" i="7"/>
  <c r="P43" i="7" s="1"/>
  <c r="U43" i="7" s="1"/>
  <c r="K43" i="7"/>
  <c r="O43" i="7" s="1"/>
  <c r="J43" i="7"/>
  <c r="Q42" i="7"/>
  <c r="M42" i="7"/>
  <c r="S42" i="7" s="1"/>
  <c r="L42" i="7"/>
  <c r="P42" i="7" s="1"/>
  <c r="U42" i="7" s="1"/>
  <c r="K42" i="7"/>
  <c r="O42" i="7" s="1"/>
  <c r="J42" i="7"/>
  <c r="AB41" i="7"/>
  <c r="AA41" i="7"/>
  <c r="Z41" i="7"/>
  <c r="Y41" i="7"/>
  <c r="M40" i="7"/>
  <c r="L40" i="7"/>
  <c r="F20" i="7"/>
  <c r="H17" i="7"/>
  <c r="H16" i="7"/>
  <c r="H15" i="7"/>
  <c r="H14" i="7"/>
  <c r="H13" i="7"/>
  <c r="H12" i="7"/>
  <c r="H11" i="7"/>
  <c r="H10" i="7"/>
  <c r="H9" i="7"/>
  <c r="F19" i="7" s="1"/>
  <c r="H8" i="7"/>
  <c r="F20" i="1"/>
  <c r="K44" i="7" l="1"/>
  <c r="N44" i="7" s="1"/>
  <c r="Q45" i="7"/>
  <c r="R44" i="7"/>
  <c r="Q50" i="7"/>
  <c r="P50" i="7"/>
  <c r="T48" i="7"/>
  <c r="V50" i="7"/>
  <c r="Q48" i="7"/>
  <c r="P48" i="7"/>
  <c r="V48" i="7"/>
  <c r="P45" i="7"/>
  <c r="U45" i="7" s="1"/>
  <c r="P47" i="7"/>
  <c r="U47" i="7" s="1"/>
  <c r="O50" i="7"/>
  <c r="S50" i="7"/>
  <c r="N42" i="7"/>
  <c r="T42" i="7" s="1"/>
  <c r="Z42" i="7" s="1"/>
  <c r="R42" i="7"/>
  <c r="V42" i="7" s="1"/>
  <c r="AA42" i="7" s="1"/>
  <c r="N43" i="7"/>
  <c r="T43" i="7" s="1"/>
  <c r="R43" i="7"/>
  <c r="V43" i="7" s="1"/>
  <c r="L44" i="7"/>
  <c r="Q46" i="7"/>
  <c r="U46" i="7" s="1"/>
  <c r="N49" i="7"/>
  <c r="T49" i="7" s="1"/>
  <c r="R49" i="7"/>
  <c r="V49" i="7" s="1"/>
  <c r="N51" i="7"/>
  <c r="T51" i="7" s="1"/>
  <c r="R51" i="7"/>
  <c r="V51" i="7" s="1"/>
  <c r="O44" i="7"/>
  <c r="T44" i="7" s="1"/>
  <c r="N45" i="7"/>
  <c r="R45" i="7"/>
  <c r="V45" i="7" s="1"/>
  <c r="N46" i="7"/>
  <c r="T46" i="7" s="1"/>
  <c r="R46" i="7"/>
  <c r="V46" i="7" s="1"/>
  <c r="N47" i="7"/>
  <c r="R47" i="7"/>
  <c r="V47" i="7" s="1"/>
  <c r="O45" i="7"/>
  <c r="O46" i="7"/>
  <c r="O47" i="7"/>
  <c r="N50" i="7"/>
  <c r="T50" i="7" s="1"/>
  <c r="H8" i="1"/>
  <c r="H9" i="1"/>
  <c r="S44" i="7" l="1"/>
  <c r="Q44" i="7"/>
  <c r="P44" i="7"/>
  <c r="U44" i="7" s="1"/>
  <c r="Y42" i="7"/>
  <c r="T47" i="7"/>
  <c r="T45" i="7"/>
  <c r="U50" i="7"/>
  <c r="V44" i="7"/>
  <c r="U48" i="7"/>
  <c r="AB42" i="7"/>
  <c r="AA43" i="7" s="1"/>
  <c r="H10" i="1"/>
  <c r="H11" i="1"/>
  <c r="H12" i="1"/>
  <c r="F19" i="1" s="1"/>
  <c r="H13" i="1"/>
  <c r="H14" i="1"/>
  <c r="H15" i="1"/>
  <c r="H16" i="1"/>
  <c r="H17" i="1"/>
  <c r="Z43" i="7" l="1"/>
  <c r="Y43" i="7"/>
  <c r="AB43" i="7"/>
  <c r="AA44" i="7" s="1"/>
  <c r="AB45" i="7" s="1"/>
  <c r="AB44" i="7"/>
  <c r="Y41" i="1"/>
  <c r="Z41" i="1"/>
  <c r="AA41" i="1"/>
  <c r="AB41" i="1"/>
  <c r="M48" i="1"/>
  <c r="M49" i="1"/>
  <c r="M50" i="1"/>
  <c r="M51" i="1"/>
  <c r="K49" i="1"/>
  <c r="O49" i="1" s="1"/>
  <c r="J49" i="1"/>
  <c r="L49" i="1" s="1"/>
  <c r="J45" i="1"/>
  <c r="L45" i="1" s="1"/>
  <c r="J46" i="1"/>
  <c r="L46" i="1" s="1"/>
  <c r="J47" i="1"/>
  <c r="L47" i="1" s="1"/>
  <c r="K48" i="1"/>
  <c r="N48" i="1" s="1"/>
  <c r="K50" i="1"/>
  <c r="N50" i="1" s="1"/>
  <c r="K51" i="1"/>
  <c r="O51" i="1" s="1"/>
  <c r="J43" i="1"/>
  <c r="K43" i="1" s="1"/>
  <c r="J44" i="1"/>
  <c r="K44" i="1" s="1"/>
  <c r="J48" i="1"/>
  <c r="L48" i="1" s="1"/>
  <c r="J50" i="1"/>
  <c r="L50" i="1" s="1"/>
  <c r="J51" i="1"/>
  <c r="L51" i="1" s="1"/>
  <c r="J42" i="1"/>
  <c r="M42" i="1" s="1"/>
  <c r="AA45" i="7" l="1"/>
  <c r="AA46" i="7" s="1"/>
  <c r="Z44" i="7"/>
  <c r="Y44" i="7"/>
  <c r="P50" i="1"/>
  <c r="Q49" i="1"/>
  <c r="P48" i="1"/>
  <c r="Q51" i="1"/>
  <c r="K47" i="1"/>
  <c r="O47" i="1" s="1"/>
  <c r="M47" i="1"/>
  <c r="K45" i="1"/>
  <c r="O45" i="1" s="1"/>
  <c r="K46" i="1"/>
  <c r="N46" i="1" s="1"/>
  <c r="M46" i="1"/>
  <c r="M45" i="1"/>
  <c r="R50" i="1"/>
  <c r="R48" i="1"/>
  <c r="S51" i="1"/>
  <c r="S49" i="1"/>
  <c r="R51" i="1"/>
  <c r="P51" i="1"/>
  <c r="N51" i="1"/>
  <c r="T51" i="1" s="1"/>
  <c r="S50" i="1"/>
  <c r="Q50" i="1"/>
  <c r="O50" i="1"/>
  <c r="T50" i="1" s="1"/>
  <c r="R49" i="1"/>
  <c r="P49" i="1"/>
  <c r="N49" i="1"/>
  <c r="T49" i="1" s="1"/>
  <c r="S48" i="1"/>
  <c r="Q48" i="1"/>
  <c r="O48" i="1"/>
  <c r="T48" i="1" s="1"/>
  <c r="L43" i="1"/>
  <c r="M43" i="1"/>
  <c r="K42" i="1"/>
  <c r="L42" i="1"/>
  <c r="L44" i="1"/>
  <c r="M44" i="1"/>
  <c r="AB46" i="7" l="1"/>
  <c r="AA47" i="7" s="1"/>
  <c r="Y45" i="7"/>
  <c r="Z45" i="7"/>
  <c r="U50" i="1"/>
  <c r="U49" i="1"/>
  <c r="U48" i="1"/>
  <c r="V49" i="1"/>
  <c r="V50" i="1"/>
  <c r="N47" i="1"/>
  <c r="T47" i="1" s="1"/>
  <c r="S47" i="1"/>
  <c r="R47" i="1"/>
  <c r="N45" i="1"/>
  <c r="T45" i="1" s="1"/>
  <c r="P45" i="1"/>
  <c r="P47" i="1"/>
  <c r="V48" i="1"/>
  <c r="U51" i="1"/>
  <c r="V51" i="1"/>
  <c r="Q47" i="1"/>
  <c r="Q45" i="1"/>
  <c r="S45" i="1"/>
  <c r="O46" i="1"/>
  <c r="T46" i="1" s="1"/>
  <c r="Q46" i="1"/>
  <c r="S46" i="1"/>
  <c r="P46" i="1"/>
  <c r="R46" i="1"/>
  <c r="R45" i="1"/>
  <c r="AB47" i="7" l="1"/>
  <c r="AA48" i="7" s="1"/>
  <c r="Y46" i="7"/>
  <c r="Z46" i="7"/>
  <c r="V47" i="1"/>
  <c r="U46" i="1"/>
  <c r="V45" i="1"/>
  <c r="U45" i="1"/>
  <c r="V46" i="1"/>
  <c r="U47" i="1"/>
  <c r="AB48" i="7" l="1"/>
  <c r="AA49" i="7" s="1"/>
  <c r="Y47" i="7"/>
  <c r="Z47" i="7"/>
  <c r="AB49" i="7"/>
  <c r="AA50" i="7" s="1"/>
  <c r="V52" i="1"/>
  <c r="U52" i="1"/>
  <c r="T52" i="1"/>
  <c r="M40" i="1"/>
  <c r="L40" i="1"/>
  <c r="AB50" i="7" l="1"/>
  <c r="AA51" i="7" s="1"/>
  <c r="Z48" i="7"/>
  <c r="Y48" i="7"/>
  <c r="R42" i="1"/>
  <c r="R43" i="1"/>
  <c r="Z49" i="7" l="1"/>
  <c r="Y49" i="7"/>
  <c r="AB51" i="7"/>
  <c r="AA52" i="7" s="1"/>
  <c r="D41" i="7" s="1"/>
  <c r="O44" i="1"/>
  <c r="N44" i="1"/>
  <c r="O42" i="1"/>
  <c r="N42" i="1"/>
  <c r="Q43" i="1"/>
  <c r="P43" i="1"/>
  <c r="Q42" i="1"/>
  <c r="P42" i="1"/>
  <c r="R44" i="1"/>
  <c r="O43" i="1"/>
  <c r="N43" i="1"/>
  <c r="Q44" i="1"/>
  <c r="P44" i="1"/>
  <c r="S44" i="1"/>
  <c r="S43" i="1"/>
  <c r="V43" i="1" s="1"/>
  <c r="S42" i="1"/>
  <c r="V42" i="1" s="1"/>
  <c r="Z50" i="7" l="1"/>
  <c r="Y50" i="7"/>
  <c r="B42" i="7"/>
  <c r="C41" i="7"/>
  <c r="AB52" i="7"/>
  <c r="D43" i="7" s="1"/>
  <c r="U42" i="1"/>
  <c r="U43" i="1"/>
  <c r="T42" i="1"/>
  <c r="Y42" i="1" s="1"/>
  <c r="T44" i="1"/>
  <c r="U44" i="1"/>
  <c r="T43" i="1"/>
  <c r="V44" i="1"/>
  <c r="C43" i="7" l="1"/>
  <c r="B44" i="7"/>
  <c r="D54" i="7"/>
  <c r="Z51" i="7"/>
  <c r="Y51" i="7"/>
  <c r="Z42" i="1"/>
  <c r="Z43" i="1" s="1"/>
  <c r="AB42" i="1"/>
  <c r="AA42" i="1"/>
  <c r="Y52" i="7" l="1"/>
  <c r="D40" i="7" s="1"/>
  <c r="Z52" i="7"/>
  <c r="D42" i="7" s="1"/>
  <c r="AB43" i="1"/>
  <c r="Y43" i="1"/>
  <c r="AA43" i="1"/>
  <c r="C42" i="7" l="1"/>
  <c r="B43" i="7"/>
  <c r="D55" i="7"/>
  <c r="D56" i="7" s="1"/>
  <c r="D47" i="7"/>
  <c r="D51" i="7"/>
  <c r="D46" i="7"/>
  <c r="D50" i="7"/>
  <c r="D52" i="7" s="1"/>
  <c r="B41" i="7"/>
  <c r="D45" i="7"/>
  <c r="C40" i="7"/>
  <c r="AB44" i="1"/>
  <c r="Y44" i="1"/>
  <c r="Z44" i="1"/>
  <c r="AA44" i="1"/>
  <c r="B48" i="7" l="1"/>
  <c r="C47" i="7"/>
  <c r="O12" i="7" s="1"/>
  <c r="B53" i="7"/>
  <c r="C52" i="7"/>
  <c r="C56" i="7"/>
  <c r="B57" i="7"/>
  <c r="B47" i="7"/>
  <c r="O9" i="7" s="1"/>
  <c r="C46" i="7"/>
  <c r="O10" i="7" s="1"/>
  <c r="B46" i="7"/>
  <c r="O7" i="7" s="1"/>
  <c r="C45" i="7"/>
  <c r="O8" i="7" s="1"/>
  <c r="AB45" i="1"/>
  <c r="Y45" i="1"/>
  <c r="AA45" i="1"/>
  <c r="Z45" i="1"/>
  <c r="O13" i="7" l="1"/>
  <c r="O15" i="7"/>
  <c r="O17" i="7"/>
  <c r="O11" i="7"/>
  <c r="AB46" i="1"/>
  <c r="Y46" i="1"/>
  <c r="Z46" i="1"/>
  <c r="AA46" i="1"/>
  <c r="AB47" i="1" l="1"/>
  <c r="Z47" i="1"/>
  <c r="Y47" i="1"/>
  <c r="AA47" i="1"/>
  <c r="AB48" i="1" l="1"/>
  <c r="Z48" i="1"/>
  <c r="Y48" i="1"/>
  <c r="AA48" i="1"/>
  <c r="AB49" i="1" l="1"/>
  <c r="Z49" i="1"/>
  <c r="Y49" i="1"/>
  <c r="AA49" i="1"/>
  <c r="AB50" i="1" l="1"/>
  <c r="Y50" i="1"/>
  <c r="Z50" i="1"/>
  <c r="AA50" i="1"/>
  <c r="AB51" i="1" l="1"/>
  <c r="Y51" i="1"/>
  <c r="Z51" i="1"/>
  <c r="AA51" i="1"/>
  <c r="AB52" i="1" l="1"/>
  <c r="D43" i="1" s="1"/>
  <c r="Y52" i="1"/>
  <c r="D40" i="1" s="1"/>
  <c r="Z52" i="1"/>
  <c r="D42" i="1" s="1"/>
  <c r="AA52" i="1"/>
  <c r="D41" i="1" s="1"/>
  <c r="B41" i="1" l="1"/>
  <c r="C40" i="1"/>
  <c r="C41" i="1"/>
  <c r="B42" i="1"/>
  <c r="D55" i="1"/>
  <c r="D51" i="1"/>
  <c r="D47" i="1"/>
  <c r="D50" i="1"/>
  <c r="C43" i="1"/>
  <c r="D46" i="1"/>
  <c r="C46" i="1" s="1"/>
  <c r="O10" i="1" s="1"/>
  <c r="D54" i="1"/>
  <c r="B44" i="1"/>
  <c r="B43" i="1"/>
  <c r="C42" i="1"/>
  <c r="D45" i="1"/>
  <c r="D56" i="1" l="1"/>
  <c r="B57" i="1" s="1"/>
  <c r="C47" i="1"/>
  <c r="O12" i="1" s="1"/>
  <c r="D52" i="1"/>
  <c r="B53" i="1" s="1"/>
  <c r="B47" i="1"/>
  <c r="O9" i="1" s="1"/>
  <c r="B48" i="1"/>
  <c r="C45" i="1"/>
  <c r="O8" i="1" s="1"/>
  <c r="B46" i="1"/>
  <c r="O7" i="1" s="1"/>
  <c r="O15" i="1" l="1"/>
  <c r="O13" i="1"/>
  <c r="O17" i="1"/>
  <c r="O11" i="1"/>
  <c r="C56" i="1"/>
  <c r="C52" i="1"/>
</calcChain>
</file>

<file path=xl/sharedStrings.xml><?xml version="1.0" encoding="utf-8"?>
<sst xmlns="http://schemas.openxmlformats.org/spreadsheetml/2006/main" count="146" uniqueCount="62">
  <si>
    <t>Beton</t>
  </si>
  <si>
    <t>Dämmung</t>
  </si>
  <si>
    <t>Putz</t>
  </si>
  <si>
    <t>delta</t>
  </si>
  <si>
    <t>eta</t>
  </si>
  <si>
    <t>Z11=Z22 real</t>
  </si>
  <si>
    <t>Z11=Z22 imag</t>
  </si>
  <si>
    <t>Z12 r</t>
  </si>
  <si>
    <t>Z12 i</t>
  </si>
  <si>
    <t>Z21 r</t>
  </si>
  <si>
    <t>Z21 i</t>
  </si>
  <si>
    <t>Z11</t>
  </si>
  <si>
    <t>Z12</t>
  </si>
  <si>
    <t>Z21</t>
  </si>
  <si>
    <t>Y11</t>
  </si>
  <si>
    <t>Y22</t>
  </si>
  <si>
    <t>Z22</t>
  </si>
  <si>
    <t>Z11-1</t>
  </si>
  <si>
    <t>Z22-1</t>
  </si>
  <si>
    <t>Y12</t>
  </si>
  <si>
    <t>X1</t>
  </si>
  <si>
    <t>X2</t>
  </si>
  <si>
    <t>komplex</t>
  </si>
  <si>
    <t>MATRIX PRODUKT-REIHE</t>
  </si>
  <si>
    <t>Dekrement f:</t>
  </si>
  <si>
    <t>R
[m²K/W]</t>
  </si>
  <si>
    <t>W/m²K</t>
  </si>
  <si>
    <t>Phase [h]</t>
  </si>
  <si>
    <t>Betrag</t>
  </si>
  <si>
    <t>W/(m²K)</t>
  </si>
  <si>
    <t>hellgelbe Felder ausfüllen</t>
  </si>
  <si>
    <t>kJ/(m².K)</t>
  </si>
  <si>
    <t>h</t>
  </si>
  <si>
    <t>www.htflux.com</t>
  </si>
  <si>
    <t>Berechnungstool für die speicherwirksame Masse gemäß EN 13786</t>
  </si>
  <si>
    <t>Bezeichnung</t>
  </si>
  <si>
    <t>Berechnungsergebnisse gemäß 
EN ISO 13786:</t>
  </si>
  <si>
    <t>Fl.bez.wirksame Wärmekapazität innen:</t>
  </si>
  <si>
    <t>Fl.bez.wirksame Wärmekapazität außen:</t>
  </si>
  <si>
    <t>Phasenverschiebung dyn. Wa.:</t>
  </si>
  <si>
    <t>dynamische Wärmeaufnahme:</t>
  </si>
  <si>
    <t>Phasenverschiebung Wa. Innen:</t>
  </si>
  <si>
    <t>Wärmeaufnahme innen:</t>
  </si>
  <si>
    <t>Wärmeaufnahme außen:</t>
  </si>
  <si>
    <t>U-Wert:</t>
  </si>
  <si>
    <t>© 2017 DI Daniel Rüdisser</t>
  </si>
  <si>
    <t>http://www.htflux.com</t>
  </si>
  <si>
    <t>Das Tool wurde validiert. Jegliche Haftung oder Gewährleistung für</t>
  </si>
  <si>
    <t xml:space="preserve">Für weiterführende Untersuchungen, Simulationsberechnungen, </t>
  </si>
  <si>
    <t>Phasenverschiebung Wa. außen:</t>
  </si>
  <si>
    <t>Material-Datenbank etc. verwenden Sie bitte unsere HTflux-Software.</t>
  </si>
  <si>
    <t>Rsi (Wärmeüberg.wid. innen)</t>
  </si>
  <si>
    <t>Rse (Wärmeüberg.wid. außen)</t>
  </si>
  <si>
    <r>
      <t xml:space="preserve">Wärmeleit-
fähigkeit </t>
    </r>
    <r>
      <rPr>
        <sz val="12"/>
        <color theme="0"/>
        <rFont val="Symbol"/>
        <family val="1"/>
        <charset val="2"/>
      </rPr>
      <t>l</t>
    </r>
    <r>
      <rPr>
        <sz val="12"/>
        <color theme="0"/>
        <rFont val="Calibri"/>
        <family val="2"/>
      </rPr>
      <t xml:space="preserve">
[W/m.K]</t>
    </r>
  </si>
  <si>
    <r>
      <t xml:space="preserve">Rohdichte </t>
    </r>
    <r>
      <rPr>
        <sz val="12"/>
        <color theme="0"/>
        <rFont val="Symbol"/>
        <family val="1"/>
        <charset val="2"/>
      </rPr>
      <t>r</t>
    </r>
    <r>
      <rPr>
        <sz val="12"/>
        <color theme="0"/>
        <rFont val="Calibri"/>
        <family val="2"/>
        <scheme val="minor"/>
      </rPr>
      <t xml:space="preserve">
[kg/m³]</t>
    </r>
  </si>
  <si>
    <t>spez. Wärmekap. C
[J/kg.K]</t>
  </si>
  <si>
    <t>Schichtdicke d
[m]</t>
  </si>
  <si>
    <t>Gesamtdicke:</t>
  </si>
  <si>
    <t>m</t>
  </si>
  <si>
    <t>Dieses Excel-Tool ist zur freien Verwendung und Weitergabe!</t>
  </si>
  <si>
    <t>die Berechnungsergebnisse wird dennoch ausgeschlossen.</t>
  </si>
  <si>
    <t>Berechnungstool für die speicherwirksame Masse gemäß EN ISO 13786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</si>
</sst>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1"/>
      <color theme="5"/>
      <name val="Calibri"/>
      <family val="2"/>
      <scheme val="minor"/>
    </font>
    <font>
      <sz val="13"/>
      <color theme="4"/>
      <name val="Calibri"/>
      <family val="2"/>
      <scheme val="minor"/>
    </font>
    <font>
      <sz val="13"/>
      <color theme="5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24"/>
      <color theme="0"/>
      <name val="Segoe UI"/>
      <family val="2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Symbol"/>
      <family val="1"/>
      <charset val="2"/>
    </font>
    <font>
      <i/>
      <sz val="11"/>
      <color theme="1" tint="0.499984740745262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1" fillId="3" borderId="3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2" fontId="0" fillId="3" borderId="1" xfId="0" applyNumberForma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7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2" xfId="0" applyFill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right"/>
      <protection hidden="1"/>
    </xf>
    <xf numFmtId="0" fontId="9" fillId="3" borderId="1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9" fillId="3" borderId="1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11" fillId="3" borderId="1" xfId="0" applyFont="1" applyFill="1" applyBorder="1" applyAlignment="1" applyProtection="1">
      <alignment horizontal="right"/>
      <protection hidden="1"/>
    </xf>
    <xf numFmtId="165" fontId="11" fillId="3" borderId="1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10" fillId="3" borderId="1" xfId="0" applyFont="1" applyFill="1" applyBorder="1" applyProtection="1">
      <protection hidden="1"/>
    </xf>
    <xf numFmtId="165" fontId="9" fillId="3" borderId="1" xfId="0" applyNumberFormat="1" applyFont="1" applyFill="1" applyBorder="1" applyProtection="1">
      <protection hidden="1"/>
    </xf>
    <xf numFmtId="0" fontId="24" fillId="4" borderId="0" xfId="0" applyFont="1" applyFill="1" applyAlignment="1" applyProtection="1">
      <alignment horizontal="left" indent="1"/>
    </xf>
    <xf numFmtId="0" fontId="25" fillId="4" borderId="0" xfId="0" applyFont="1" applyFill="1" applyProtection="1"/>
    <xf numFmtId="0" fontId="0" fillId="3" borderId="0" xfId="0" applyFill="1" applyProtection="1"/>
    <xf numFmtId="0" fontId="15" fillId="3" borderId="0" xfId="0" applyFont="1" applyFill="1" applyProtection="1"/>
    <xf numFmtId="0" fontId="13" fillId="3" borderId="0" xfId="1" applyFill="1" applyProtection="1"/>
    <xf numFmtId="0" fontId="0" fillId="3" borderId="3" xfId="0" applyFill="1" applyBorder="1" applyProtection="1"/>
    <xf numFmtId="0" fontId="0" fillId="3" borderId="4" xfId="0" applyFill="1" applyBorder="1" applyProtection="1"/>
    <xf numFmtId="165" fontId="0" fillId="3" borderId="4" xfId="0" applyNumberFormat="1" applyFill="1" applyBorder="1" applyProtection="1"/>
    <xf numFmtId="0" fontId="0" fillId="3" borderId="5" xfId="0" applyFill="1" applyBorder="1" applyProtection="1"/>
    <xf numFmtId="0" fontId="0" fillId="3" borderId="8" xfId="0" applyFill="1" applyBorder="1" applyProtection="1"/>
    <xf numFmtId="0" fontId="16" fillId="4" borderId="0" xfId="0" applyFont="1" applyFill="1" applyBorder="1" applyProtection="1"/>
    <xf numFmtId="0" fontId="17" fillId="4" borderId="11" xfId="0" applyFont="1" applyFill="1" applyBorder="1" applyAlignment="1" applyProtection="1">
      <alignment horizontal="center" wrapText="1"/>
    </xf>
    <xf numFmtId="0" fontId="16" fillId="4" borderId="11" xfId="0" applyFont="1" applyFill="1" applyBorder="1" applyAlignment="1" applyProtection="1">
      <alignment horizontal="center" wrapText="1"/>
    </xf>
    <xf numFmtId="0" fontId="0" fillId="3" borderId="9" xfId="0" applyFill="1" applyBorder="1" applyProtection="1"/>
    <xf numFmtId="0" fontId="18" fillId="3" borderId="2" xfId="0" applyFont="1" applyFill="1" applyBorder="1" applyProtection="1"/>
    <xf numFmtId="0" fontId="0" fillId="3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165" fontId="29" fillId="3" borderId="0" xfId="0" applyNumberFormat="1" applyFont="1" applyFill="1" applyBorder="1" applyAlignment="1" applyProtection="1">
      <alignment horizontal="right"/>
    </xf>
    <xf numFmtId="0" fontId="2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0" fillId="2" borderId="2" xfId="0" applyFont="1" applyFill="1" applyBorder="1" applyProtection="1"/>
    <xf numFmtId="2" fontId="0" fillId="2" borderId="2" xfId="0" applyNumberFormat="1" applyFont="1" applyFill="1" applyBorder="1" applyAlignment="1" applyProtection="1">
      <alignment horizontal="center"/>
    </xf>
    <xf numFmtId="164" fontId="0" fillId="2" borderId="2" xfId="0" applyNumberFormat="1" applyFont="1" applyFill="1" applyBorder="1" applyAlignment="1" applyProtection="1">
      <alignment horizontal="center"/>
    </xf>
    <xf numFmtId="165" fontId="0" fillId="3" borderId="2" xfId="0" applyNumberFormat="1" applyFont="1" applyFill="1" applyBorder="1" applyAlignment="1" applyProtection="1">
      <alignment horizontal="center"/>
    </xf>
    <xf numFmtId="2" fontId="29" fillId="3" borderId="11" xfId="0" applyNumberFormat="1" applyFont="1" applyFill="1" applyBorder="1" applyAlignment="1" applyProtection="1">
      <alignment horizontal="right"/>
    </xf>
    <xf numFmtId="0" fontId="29" fillId="3" borderId="11" xfId="0" applyFont="1" applyFill="1" applyBorder="1" applyAlignment="1" applyProtection="1">
      <alignment horizontal="left"/>
    </xf>
    <xf numFmtId="0" fontId="19" fillId="3" borderId="11" xfId="0" applyFont="1" applyFill="1" applyBorder="1" applyProtection="1"/>
    <xf numFmtId="165" fontId="20" fillId="3" borderId="0" xfId="0" applyNumberFormat="1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Protection="1"/>
    <xf numFmtId="2" fontId="20" fillId="3" borderId="11" xfId="0" applyNumberFormat="1" applyFont="1" applyFill="1" applyBorder="1" applyAlignment="1" applyProtection="1">
      <alignment horizontal="right"/>
    </xf>
    <xf numFmtId="0" fontId="20" fillId="3" borderId="11" xfId="0" applyFont="1" applyFill="1" applyBorder="1" applyAlignment="1" applyProtection="1">
      <alignment horizontal="left"/>
    </xf>
    <xf numFmtId="0" fontId="20" fillId="3" borderId="11" xfId="0" applyFont="1" applyFill="1" applyBorder="1" applyProtection="1"/>
    <xf numFmtId="165" fontId="34" fillId="3" borderId="0" xfId="0" applyNumberFormat="1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horizontal="left"/>
    </xf>
    <xf numFmtId="0" fontId="21" fillId="3" borderId="0" xfId="0" applyFont="1" applyFill="1" applyBorder="1" applyProtection="1"/>
    <xf numFmtId="2" fontId="34" fillId="3" borderId="11" xfId="0" applyNumberFormat="1" applyFont="1" applyFill="1" applyBorder="1" applyAlignment="1" applyProtection="1">
      <alignment horizontal="right"/>
    </xf>
    <xf numFmtId="0" fontId="34" fillId="3" borderId="11" xfId="0" applyFont="1" applyFill="1" applyBorder="1" applyAlignment="1" applyProtection="1">
      <alignment horizontal="left"/>
    </xf>
    <xf numFmtId="0" fontId="21" fillId="3" borderId="11" xfId="0" applyFont="1" applyFill="1" applyBorder="1" applyProtection="1"/>
    <xf numFmtId="0" fontId="8" fillId="3" borderId="0" xfId="0" applyFont="1" applyFill="1" applyProtection="1"/>
    <xf numFmtId="0" fontId="31" fillId="3" borderId="2" xfId="0" applyFont="1" applyFill="1" applyBorder="1" applyProtection="1"/>
    <xf numFmtId="0" fontId="31" fillId="3" borderId="2" xfId="0" applyFont="1" applyFill="1" applyBorder="1" applyAlignment="1" applyProtection="1">
      <alignment horizontal="center"/>
    </xf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33" fillId="3" borderId="0" xfId="0" applyFont="1" applyFill="1" applyBorder="1" applyAlignment="1" applyProtection="1">
      <alignment horizontal="right"/>
    </xf>
    <xf numFmtId="164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Protection="1"/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0" fontId="33" fillId="3" borderId="11" xfId="0" applyFont="1" applyFill="1" applyBorder="1" applyAlignment="1" applyProtection="1">
      <alignment horizontal="right"/>
    </xf>
    <xf numFmtId="165" fontId="33" fillId="3" borderId="11" xfId="0" applyNumberFormat="1" applyFont="1" applyFill="1" applyBorder="1" applyAlignment="1" applyProtection="1">
      <alignment horizontal="center"/>
    </xf>
    <xf numFmtId="0" fontId="33" fillId="3" borderId="11" xfId="0" applyFont="1" applyFill="1" applyBorder="1" applyProtection="1"/>
    <xf numFmtId="0" fontId="4" fillId="3" borderId="12" xfId="0" applyFont="1" applyFill="1" applyBorder="1" applyProtection="1"/>
    <xf numFmtId="0" fontId="4" fillId="3" borderId="0" xfId="0" applyFont="1" applyFill="1" applyProtection="1"/>
    <xf numFmtId="0" fontId="0" fillId="3" borderId="0" xfId="0" applyFill="1" applyAlignment="1" applyProtection="1">
      <alignment wrapText="1"/>
    </xf>
    <xf numFmtId="0" fontId="14" fillId="3" borderId="0" xfId="0" applyFont="1" applyFill="1" applyAlignment="1" applyProtection="1"/>
    <xf numFmtId="0" fontId="26" fillId="3" borderId="0" xfId="0" applyFont="1" applyFill="1" applyAlignment="1" applyProtection="1"/>
    <xf numFmtId="0" fontId="0" fillId="3" borderId="0" xfId="0" applyFill="1" applyAlignment="1" applyProtection="1"/>
    <xf numFmtId="2" fontId="30" fillId="3" borderId="0" xfId="0" applyNumberFormat="1" applyFont="1" applyFill="1" applyBorder="1" applyProtection="1"/>
    <xf numFmtId="0" fontId="30" fillId="3" borderId="0" xfId="0" applyFont="1" applyFill="1" applyBorder="1" applyProtection="1"/>
    <xf numFmtId="2" fontId="10" fillId="3" borderId="0" xfId="0" applyNumberFormat="1" applyFont="1" applyFill="1" applyBorder="1" applyProtection="1"/>
    <xf numFmtId="0" fontId="10" fillId="3" borderId="0" xfId="0" applyFont="1" applyFill="1" applyBorder="1" applyProtection="1"/>
    <xf numFmtId="0" fontId="13" fillId="3" borderId="0" xfId="1" applyFill="1" applyAlignment="1" applyProtection="1"/>
    <xf numFmtId="0" fontId="28" fillId="3" borderId="0" xfId="0" applyFont="1" applyFill="1" applyProtection="1"/>
    <xf numFmtId="0" fontId="7" fillId="3" borderId="0" xfId="0" applyFont="1" applyFill="1" applyProtection="1"/>
    <xf numFmtId="0" fontId="27" fillId="3" borderId="0" xfId="0" applyFont="1" applyFill="1" applyProtection="1"/>
    <xf numFmtId="0" fontId="27" fillId="3" borderId="0" xfId="0" applyFont="1" applyFill="1" applyAlignment="1" applyProtection="1"/>
    <xf numFmtId="0" fontId="0" fillId="3" borderId="1" xfId="0" applyFill="1" applyBorder="1" applyProtection="1"/>
    <xf numFmtId="164" fontId="0" fillId="3" borderId="0" xfId="0" applyNumberFormat="1" applyFill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0" fillId="3" borderId="1" xfId="0" applyFill="1" applyBorder="1" applyAlignment="1" applyProtection="1">
      <alignment horizontal="right"/>
    </xf>
    <xf numFmtId="2" fontId="0" fillId="3" borderId="1" xfId="0" applyNumberFormat="1" applyFill="1" applyBorder="1" applyProtection="1"/>
    <xf numFmtId="0" fontId="1" fillId="3" borderId="6" xfId="0" applyFont="1" applyFill="1" applyBorder="1" applyProtection="1"/>
    <xf numFmtId="0" fontId="1" fillId="3" borderId="2" xfId="0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" xfId="0" applyFont="1" applyFill="1" applyBorder="1" applyAlignment="1" applyProtection="1">
      <alignment horizontal="right"/>
    </xf>
    <xf numFmtId="0" fontId="0" fillId="3" borderId="6" xfId="0" applyFill="1" applyBorder="1" applyProtection="1"/>
    <xf numFmtId="0" fontId="0" fillId="3" borderId="2" xfId="0" applyFill="1" applyBorder="1" applyProtection="1"/>
    <xf numFmtId="164" fontId="0" fillId="3" borderId="2" xfId="0" applyNumberFormat="1" applyFill="1" applyBorder="1" applyProtection="1"/>
    <xf numFmtId="0" fontId="0" fillId="3" borderId="7" xfId="0" applyFill="1" applyBorder="1" applyProtection="1"/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right"/>
    </xf>
    <xf numFmtId="0" fontId="9" fillId="3" borderId="1" xfId="0" applyFont="1" applyFill="1" applyBorder="1" applyProtection="1"/>
    <xf numFmtId="0" fontId="5" fillId="3" borderId="0" xfId="0" applyFont="1" applyFill="1" applyProtection="1"/>
    <xf numFmtId="0" fontId="9" fillId="3" borderId="1" xfId="0" applyFont="1" applyFill="1" applyBorder="1" applyAlignment="1" applyProtection="1">
      <alignment horizontal="right"/>
    </xf>
    <xf numFmtId="0" fontId="7" fillId="3" borderId="1" xfId="0" applyFont="1" applyFill="1" applyBorder="1" applyProtection="1"/>
    <xf numFmtId="0" fontId="9" fillId="3" borderId="0" xfId="0" applyFont="1" applyFill="1" applyProtection="1"/>
    <xf numFmtId="0" fontId="7" fillId="3" borderId="1" xfId="0" applyFont="1" applyFill="1" applyBorder="1" applyAlignment="1" applyProtection="1">
      <alignment horizontal="right"/>
    </xf>
    <xf numFmtId="0" fontId="3" fillId="3" borderId="1" xfId="0" applyFont="1" applyFill="1" applyBorder="1" applyProtection="1"/>
    <xf numFmtId="0" fontId="2" fillId="3" borderId="1" xfId="0" applyFont="1" applyFill="1" applyBorder="1" applyAlignment="1" applyProtection="1">
      <alignment horizontal="right"/>
    </xf>
    <xf numFmtId="0" fontId="12" fillId="3" borderId="1" xfId="0" applyFont="1" applyFill="1" applyBorder="1" applyProtection="1"/>
    <xf numFmtId="0" fontId="11" fillId="3" borderId="1" xfId="0" applyFont="1" applyFill="1" applyBorder="1" applyAlignment="1" applyProtection="1">
      <alignment horizontal="right"/>
    </xf>
    <xf numFmtId="165" fontId="11" fillId="3" borderId="1" xfId="0" applyNumberFormat="1" applyFont="1" applyFill="1" applyBorder="1" applyAlignment="1" applyProtection="1">
      <alignment horizontal="right"/>
    </xf>
    <xf numFmtId="0" fontId="11" fillId="3" borderId="0" xfId="0" applyFont="1" applyFill="1" applyProtection="1"/>
    <xf numFmtId="0" fontId="10" fillId="3" borderId="1" xfId="0" applyFont="1" applyFill="1" applyBorder="1" applyProtection="1"/>
    <xf numFmtId="165" fontId="9" fillId="3" borderId="1" xfId="0" applyNumberFormat="1" applyFont="1" applyFill="1" applyBorder="1" applyProtection="1"/>
    <xf numFmtId="0" fontId="0" fillId="2" borderId="2" xfId="0" applyFont="1" applyFill="1" applyBorder="1" applyProtection="1"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/>
    <xf numFmtId="0" fontId="8" fillId="3" borderId="0" xfId="0" applyFont="1" applyFill="1" applyBorder="1" applyProtection="1"/>
    <xf numFmtId="0" fontId="7" fillId="3" borderId="0" xfId="0" applyFont="1" applyFill="1" applyBorder="1" applyProtection="1"/>
    <xf numFmtId="0" fontId="26" fillId="2" borderId="0" xfId="0" applyFont="1" applyFill="1" applyAlignment="1" applyProtection="1">
      <alignment horizontal="left"/>
    </xf>
    <xf numFmtId="0" fontId="13" fillId="3" borderId="0" xfId="1" applyFill="1" applyAlignment="1" applyProtection="1">
      <alignment horizontal="right"/>
    </xf>
    <xf numFmtId="0" fontId="35" fillId="3" borderId="0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right"/>
    </xf>
    <xf numFmtId="0" fontId="29" fillId="3" borderId="0" xfId="0" applyFont="1" applyFill="1" applyBorder="1" applyAlignment="1" applyProtection="1">
      <alignment horizontal="right"/>
    </xf>
    <xf numFmtId="0" fontId="29" fillId="3" borderId="11" xfId="0" applyFont="1" applyFill="1" applyBorder="1" applyAlignment="1" applyProtection="1">
      <alignment horizontal="right"/>
    </xf>
    <xf numFmtId="0" fontId="20" fillId="3" borderId="4" xfId="0" applyFont="1" applyFill="1" applyBorder="1" applyAlignment="1" applyProtection="1">
      <alignment horizontal="right"/>
    </xf>
    <xf numFmtId="0" fontId="20" fillId="3" borderId="11" xfId="0" applyFont="1" applyFill="1" applyBorder="1" applyAlignment="1" applyProtection="1">
      <alignment horizontal="right"/>
    </xf>
    <xf numFmtId="0" fontId="34" fillId="3" borderId="11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center" wrapText="1"/>
    </xf>
    <xf numFmtId="0" fontId="20" fillId="3" borderId="4" xfId="0" applyFont="1" applyFill="1" applyBorder="1" applyAlignment="1" applyProtection="1">
      <alignment horizontal="right" vertical="center"/>
    </xf>
    <xf numFmtId="0" fontId="20" fillId="3" borderId="11" xfId="0" applyFont="1" applyFill="1" applyBorder="1" applyAlignment="1" applyProtection="1">
      <alignment horizontal="right" vertical="center"/>
    </xf>
    <xf numFmtId="165" fontId="20" fillId="3" borderId="4" xfId="0" applyNumberFormat="1" applyFont="1" applyFill="1" applyBorder="1" applyAlignment="1" applyProtection="1">
      <alignment horizontal="right" vertical="center"/>
    </xf>
    <xf numFmtId="165" fontId="20" fillId="3" borderId="11" xfId="0" applyNumberFormat="1" applyFont="1" applyFill="1" applyBorder="1" applyAlignment="1" applyProtection="1">
      <alignment horizontal="righ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29" fillId="3" borderId="4" xfId="0" applyFont="1" applyFill="1" applyBorder="1" applyAlignment="1" applyProtection="1">
      <alignment horizontal="right" vertical="center"/>
    </xf>
    <xf numFmtId="0" fontId="29" fillId="3" borderId="11" xfId="0" applyFont="1" applyFill="1" applyBorder="1" applyAlignment="1" applyProtection="1">
      <alignment horizontal="right" vertical="center"/>
    </xf>
    <xf numFmtId="165" fontId="29" fillId="3" borderId="4" xfId="0" applyNumberFormat="1" applyFont="1" applyFill="1" applyBorder="1" applyAlignment="1" applyProtection="1">
      <alignment horizontal="right" vertical="center"/>
    </xf>
    <xf numFmtId="165" fontId="29" fillId="3" borderId="11" xfId="0" applyNumberFormat="1" applyFont="1" applyFill="1" applyBorder="1" applyAlignment="1" applyProtection="1">
      <alignment horizontal="right" vertical="center"/>
    </xf>
    <xf numFmtId="0" fontId="29" fillId="3" borderId="4" xfId="0" applyFont="1" applyFill="1" applyBorder="1" applyAlignment="1" applyProtection="1">
      <alignment horizontal="left" vertical="center"/>
    </xf>
    <xf numFmtId="0" fontId="29" fillId="3" borderId="1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65" fontId="0" fillId="2" borderId="2" xfId="0" applyNumberFormat="1" applyFont="1" applyFill="1" applyBorder="1" applyAlignment="1" applyProtection="1">
      <alignment horizontal="center"/>
      <protection locked="0"/>
    </xf>
    <xf numFmtId="166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0" fontId="34" fillId="3" borderId="4" xfId="0" applyFont="1" applyFill="1" applyBorder="1" applyAlignment="1" applyProtection="1">
      <alignment horizontal="right" vertical="center"/>
    </xf>
    <xf numFmtId="165" fontId="34" fillId="3" borderId="4" xfId="0" applyNumberFormat="1" applyFont="1" applyFill="1" applyBorder="1" applyAlignment="1" applyProtection="1">
      <alignment horizontal="center" vertical="center"/>
    </xf>
    <xf numFmtId="0" fontId="34" fillId="3" borderId="11" xfId="0" applyFont="1" applyFill="1" applyBorder="1" applyAlignment="1" applyProtection="1">
      <alignment horizontal="right" vertical="center"/>
    </xf>
    <xf numFmtId="165" fontId="34" fillId="3" borderId="11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CCCC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190501</xdr:rowOff>
    </xdr:from>
    <xdr:to>
      <xdr:col>4</xdr:col>
      <xdr:colOff>323850</xdr:colOff>
      <xdr:row>27</xdr:row>
      <xdr:rowOff>171831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67401"/>
          <a:ext cx="2867025" cy="457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190501</xdr:rowOff>
    </xdr:from>
    <xdr:to>
      <xdr:col>4</xdr:col>
      <xdr:colOff>323850</xdr:colOff>
      <xdr:row>27</xdr:row>
      <xdr:rowOff>171831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6"/>
          <a:ext cx="2867025" cy="457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workbookViewId="0">
      <selection activeCell="J28" sqref="J28"/>
    </sheetView>
  </sheetViews>
  <sheetFormatPr baseColWidth="10" defaultRowHeight="15" x14ac:dyDescent="0.25"/>
  <cols>
    <col min="1" max="1" width="5.140625" style="47" customWidth="1"/>
    <col min="2" max="2" width="1.42578125" style="47" customWidth="1"/>
    <col min="3" max="3" width="24.140625" style="47" customWidth="1"/>
    <col min="4" max="6" width="14.140625" style="47" customWidth="1"/>
    <col min="7" max="7" width="14.7109375" style="47" customWidth="1"/>
    <col min="8" max="8" width="11" style="47" customWidth="1"/>
    <col min="9" max="9" width="1.42578125" style="47" customWidth="1"/>
    <col min="10" max="10" width="11.140625" style="47" customWidth="1"/>
    <col min="11" max="11" width="1.42578125" style="47" customWidth="1"/>
    <col min="12" max="12" width="11.42578125" style="47"/>
    <col min="13" max="13" width="19.5703125" style="47" customWidth="1"/>
    <col min="14" max="15" width="11.42578125" style="47"/>
    <col min="16" max="16" width="10.85546875" style="47" customWidth="1"/>
    <col min="17" max="17" width="1.28515625" style="47" customWidth="1"/>
    <col min="18" max="18" width="1.42578125" style="47" customWidth="1"/>
    <col min="19" max="19" width="6.7109375" style="47" customWidth="1"/>
    <col min="20" max="20" width="11.42578125" style="47"/>
    <col min="21" max="21" width="4.140625" style="47" customWidth="1"/>
    <col min="22" max="22" width="7.7109375" style="47" customWidth="1"/>
    <col min="23" max="23" width="16.5703125" style="47" customWidth="1"/>
    <col min="24" max="24" width="14.5703125" style="47" customWidth="1"/>
    <col min="25" max="26" width="11.42578125" style="47"/>
    <col min="27" max="27" width="11.85546875" style="47" customWidth="1"/>
    <col min="28" max="29" width="11.42578125" style="47"/>
    <col min="30" max="30" width="11.42578125" style="47" customWidth="1"/>
    <col min="31" max="16384" width="11.42578125" style="47"/>
  </cols>
  <sheetData>
    <row r="1" spans="1:21" s="46" customFormat="1" ht="48" customHeight="1" x14ac:dyDescent="0.7">
      <c r="A1" s="45" t="s">
        <v>61</v>
      </c>
    </row>
    <row r="2" spans="1:21" x14ac:dyDescent="0.25">
      <c r="O2" s="156" t="s">
        <v>33</v>
      </c>
      <c r="P2" s="156"/>
      <c r="Q2" s="156"/>
      <c r="R2" s="156"/>
    </row>
    <row r="3" spans="1:21" x14ac:dyDescent="0.25">
      <c r="B3" s="155" t="s">
        <v>30</v>
      </c>
      <c r="C3" s="155"/>
      <c r="D3" s="155"/>
      <c r="E3" s="48"/>
      <c r="F3" s="48"/>
      <c r="G3" s="48"/>
    </row>
    <row r="4" spans="1:21" ht="10.5" customHeight="1" x14ac:dyDescent="0.25">
      <c r="E4" s="48"/>
      <c r="F4" s="48"/>
      <c r="G4" s="48"/>
      <c r="Q4" s="49"/>
    </row>
    <row r="5" spans="1:21" ht="7.5" customHeight="1" x14ac:dyDescent="0.25">
      <c r="B5" s="50"/>
      <c r="C5" s="51"/>
      <c r="D5" s="51"/>
      <c r="E5" s="51"/>
      <c r="F5" s="51"/>
      <c r="G5" s="51"/>
      <c r="H5" s="52"/>
      <c r="I5" s="53"/>
      <c r="K5" s="50"/>
      <c r="L5" s="51"/>
      <c r="M5" s="51"/>
      <c r="N5" s="51"/>
      <c r="O5" s="51"/>
      <c r="P5" s="51"/>
      <c r="Q5" s="51"/>
      <c r="R5" s="53"/>
    </row>
    <row r="6" spans="1:21" ht="54" customHeight="1" x14ac:dyDescent="0.25">
      <c r="B6" s="54"/>
      <c r="C6" s="55" t="s">
        <v>35</v>
      </c>
      <c r="D6" s="56" t="s">
        <v>53</v>
      </c>
      <c r="E6" s="57" t="s">
        <v>54</v>
      </c>
      <c r="F6" s="57" t="s">
        <v>55</v>
      </c>
      <c r="G6" s="57" t="s">
        <v>56</v>
      </c>
      <c r="H6" s="57" t="s">
        <v>25</v>
      </c>
      <c r="I6" s="58"/>
      <c r="K6" s="54"/>
      <c r="L6" s="163" t="s">
        <v>36</v>
      </c>
      <c r="M6" s="164"/>
      <c r="N6" s="164"/>
      <c r="O6" s="164"/>
      <c r="P6" s="164"/>
      <c r="Q6" s="164"/>
      <c r="R6" s="58"/>
    </row>
    <row r="7" spans="1:21" ht="17.25" x14ac:dyDescent="0.3">
      <c r="B7" s="54"/>
      <c r="C7" s="59" t="s">
        <v>51</v>
      </c>
      <c r="D7" s="60"/>
      <c r="E7" s="60"/>
      <c r="F7" s="60"/>
      <c r="G7" s="60"/>
      <c r="H7" s="149">
        <v>0.13</v>
      </c>
      <c r="I7" s="58"/>
      <c r="K7" s="54"/>
      <c r="L7" s="166" t="s">
        <v>43</v>
      </c>
      <c r="M7" s="166"/>
      <c r="N7" s="166"/>
      <c r="O7" s="62">
        <f>$B$46</f>
        <v>0.84704979070979702</v>
      </c>
      <c r="P7" s="63" t="s">
        <v>29</v>
      </c>
      <c r="Q7" s="64"/>
      <c r="R7" s="58"/>
    </row>
    <row r="8" spans="1:21" ht="17.25" x14ac:dyDescent="0.3">
      <c r="B8" s="54"/>
      <c r="C8" s="148" t="s">
        <v>0</v>
      </c>
      <c r="D8" s="199">
        <v>1.8</v>
      </c>
      <c r="E8" s="200">
        <v>2400</v>
      </c>
      <c r="F8" s="201">
        <v>1000</v>
      </c>
      <c r="G8" s="151">
        <v>0.2</v>
      </c>
      <c r="H8" s="68">
        <f t="shared" ref="H8:H9" si="0">IF(G8&gt;0,G8/D8,"")</f>
        <v>0.11111111111111112</v>
      </c>
      <c r="I8" s="58"/>
      <c r="K8" s="54"/>
      <c r="L8" s="167" t="s">
        <v>49</v>
      </c>
      <c r="M8" s="167"/>
      <c r="N8" s="167"/>
      <c r="O8" s="69">
        <f>$C$45</f>
        <v>4.0324409061482926</v>
      </c>
      <c r="P8" s="70" t="s">
        <v>32</v>
      </c>
      <c r="Q8" s="71"/>
      <c r="R8" s="58"/>
    </row>
    <row r="9" spans="1:21" ht="17.25" x14ac:dyDescent="0.3">
      <c r="B9" s="54"/>
      <c r="C9" s="148" t="s">
        <v>1</v>
      </c>
      <c r="D9" s="199">
        <v>0.04</v>
      </c>
      <c r="E9" s="200">
        <v>30</v>
      </c>
      <c r="F9" s="201">
        <v>1400</v>
      </c>
      <c r="G9" s="151">
        <v>0.1</v>
      </c>
      <c r="H9" s="68">
        <f t="shared" si="0"/>
        <v>2.5</v>
      </c>
      <c r="I9" s="58"/>
      <c r="K9" s="54"/>
      <c r="L9" s="168" t="s">
        <v>42</v>
      </c>
      <c r="M9" s="168"/>
      <c r="N9" s="168"/>
      <c r="O9" s="72">
        <f>$B$47</f>
        <v>5.9417598191687588</v>
      </c>
      <c r="P9" s="73" t="s">
        <v>29</v>
      </c>
      <c r="Q9" s="74"/>
      <c r="R9" s="58"/>
    </row>
    <row r="10" spans="1:21" ht="17.25" x14ac:dyDescent="0.3">
      <c r="B10" s="54"/>
      <c r="C10" s="148" t="s">
        <v>2</v>
      </c>
      <c r="D10" s="199">
        <v>1</v>
      </c>
      <c r="E10" s="200">
        <v>1200</v>
      </c>
      <c r="F10" s="201">
        <v>1500</v>
      </c>
      <c r="G10" s="151">
        <v>5.0000000000000001E-3</v>
      </c>
      <c r="H10" s="68">
        <f t="shared" ref="H10:H17" si="1">IF(G10&gt;0,G10/D10,"")</f>
        <v>5.0000000000000001E-3</v>
      </c>
      <c r="I10" s="58"/>
      <c r="K10" s="54"/>
      <c r="L10" s="169" t="s">
        <v>41</v>
      </c>
      <c r="M10" s="169"/>
      <c r="N10" s="169"/>
      <c r="O10" s="75">
        <f>$C$46</f>
        <v>0.85300894963325824</v>
      </c>
      <c r="P10" s="76" t="s">
        <v>32</v>
      </c>
      <c r="Q10" s="77"/>
      <c r="R10" s="58"/>
    </row>
    <row r="11" spans="1:21" ht="17.25" x14ac:dyDescent="0.3">
      <c r="B11" s="54"/>
      <c r="C11" s="148"/>
      <c r="D11" s="199"/>
      <c r="E11" s="200"/>
      <c r="F11" s="201"/>
      <c r="G11" s="151"/>
      <c r="H11" s="68" t="str">
        <f t="shared" si="1"/>
        <v/>
      </c>
      <c r="I11" s="58"/>
      <c r="K11" s="54"/>
      <c r="L11" s="165" t="s">
        <v>40</v>
      </c>
      <c r="M11" s="165"/>
      <c r="N11" s="165"/>
      <c r="O11" s="78">
        <f>B48</f>
        <v>6.0558015062072534E-2</v>
      </c>
      <c r="P11" s="79" t="s">
        <v>29</v>
      </c>
      <c r="Q11" s="80"/>
      <c r="R11" s="58"/>
    </row>
    <row r="12" spans="1:21" ht="17.25" x14ac:dyDescent="0.3">
      <c r="B12" s="54"/>
      <c r="C12" s="148"/>
      <c r="D12" s="199"/>
      <c r="E12" s="200"/>
      <c r="F12" s="201"/>
      <c r="G12" s="151"/>
      <c r="H12" s="68" t="str">
        <f t="shared" si="1"/>
        <v/>
      </c>
      <c r="I12" s="58"/>
      <c r="K12" s="54"/>
      <c r="L12" s="170" t="s">
        <v>39</v>
      </c>
      <c r="M12" s="170"/>
      <c r="N12" s="170"/>
      <c r="O12" s="81">
        <f>C47</f>
        <v>-8.1088173560476378</v>
      </c>
      <c r="P12" s="82" t="s">
        <v>32</v>
      </c>
      <c r="Q12" s="83"/>
      <c r="R12" s="58"/>
    </row>
    <row r="13" spans="1:21" ht="17.25" x14ac:dyDescent="0.3">
      <c r="B13" s="54"/>
      <c r="C13" s="148"/>
      <c r="D13" s="199"/>
      <c r="E13" s="200"/>
      <c r="F13" s="201"/>
      <c r="G13" s="151"/>
      <c r="H13" s="68" t="str">
        <f t="shared" si="1"/>
        <v/>
      </c>
      <c r="I13" s="58"/>
      <c r="K13" s="54"/>
      <c r="L13" s="181" t="s">
        <v>38</v>
      </c>
      <c r="M13" s="181"/>
      <c r="N13" s="181"/>
      <c r="O13" s="183">
        <f>$B$53</f>
        <v>12.479971826698097</v>
      </c>
      <c r="P13" s="185" t="s">
        <v>31</v>
      </c>
      <c r="Q13" s="64"/>
      <c r="R13" s="58"/>
      <c r="U13" s="84"/>
    </row>
    <row r="14" spans="1:21" ht="17.25" x14ac:dyDescent="0.3">
      <c r="B14" s="54"/>
      <c r="C14" s="148"/>
      <c r="D14" s="199"/>
      <c r="E14" s="200"/>
      <c r="F14" s="201"/>
      <c r="G14" s="151"/>
      <c r="H14" s="68" t="str">
        <f t="shared" si="1"/>
        <v/>
      </c>
      <c r="I14" s="58"/>
      <c r="K14" s="54"/>
      <c r="L14" s="182"/>
      <c r="M14" s="182"/>
      <c r="N14" s="182"/>
      <c r="O14" s="184"/>
      <c r="P14" s="186"/>
      <c r="Q14" s="71"/>
      <c r="R14" s="58"/>
      <c r="U14" s="84"/>
    </row>
    <row r="15" spans="1:21" ht="17.25" x14ac:dyDescent="0.3">
      <c r="B15" s="54"/>
      <c r="C15" s="148"/>
      <c r="D15" s="199"/>
      <c r="E15" s="200"/>
      <c r="F15" s="201"/>
      <c r="G15" s="151"/>
      <c r="H15" s="68" t="str">
        <f t="shared" si="1"/>
        <v/>
      </c>
      <c r="I15" s="58"/>
      <c r="K15" s="54"/>
      <c r="L15" s="172" t="s">
        <v>37</v>
      </c>
      <c r="M15" s="172"/>
      <c r="N15" s="172"/>
      <c r="O15" s="174">
        <f>$B$57</f>
        <v>82.290128152756267</v>
      </c>
      <c r="P15" s="176" t="s">
        <v>31</v>
      </c>
      <c r="Q15" s="64"/>
      <c r="R15" s="58"/>
      <c r="U15" s="84"/>
    </row>
    <row r="16" spans="1:21" ht="17.25" x14ac:dyDescent="0.3">
      <c r="B16" s="54"/>
      <c r="C16" s="148"/>
      <c r="D16" s="199"/>
      <c r="E16" s="200"/>
      <c r="F16" s="201"/>
      <c r="G16" s="151"/>
      <c r="H16" s="68" t="str">
        <f t="shared" si="1"/>
        <v/>
      </c>
      <c r="I16" s="58"/>
      <c r="K16" s="54"/>
      <c r="L16" s="173"/>
      <c r="M16" s="173"/>
      <c r="N16" s="173"/>
      <c r="O16" s="175"/>
      <c r="P16" s="177"/>
      <c r="Q16" s="71"/>
      <c r="R16" s="58"/>
    </row>
    <row r="17" spans="2:21" ht="17.25" x14ac:dyDescent="0.3">
      <c r="B17" s="54"/>
      <c r="C17" s="148"/>
      <c r="D17" s="199"/>
      <c r="E17" s="200"/>
      <c r="F17" s="201"/>
      <c r="G17" s="151"/>
      <c r="H17" s="68" t="str">
        <f t="shared" si="1"/>
        <v/>
      </c>
      <c r="I17" s="58"/>
      <c r="K17" s="54"/>
      <c r="L17" s="202" t="s">
        <v>24</v>
      </c>
      <c r="M17" s="202"/>
      <c r="N17" s="202"/>
      <c r="O17" s="203">
        <f>B48/F19</f>
        <v>0.1687213586312743</v>
      </c>
      <c r="P17" s="79"/>
      <c r="Q17" s="80"/>
      <c r="R17" s="58"/>
    </row>
    <row r="18" spans="2:21" ht="15" customHeight="1" x14ac:dyDescent="0.25">
      <c r="B18" s="54"/>
      <c r="C18" s="85" t="s">
        <v>52</v>
      </c>
      <c r="D18" s="86"/>
      <c r="E18" s="86"/>
      <c r="F18" s="60"/>
      <c r="G18" s="60"/>
      <c r="H18" s="150">
        <v>0.04</v>
      </c>
      <c r="I18" s="58"/>
      <c r="K18" s="87"/>
      <c r="L18" s="204"/>
      <c r="M18" s="204"/>
      <c r="N18" s="204"/>
      <c r="O18" s="205"/>
      <c r="P18" s="88"/>
      <c r="Q18" s="88"/>
      <c r="R18" s="89"/>
    </row>
    <row r="19" spans="2:21" x14ac:dyDescent="0.25">
      <c r="B19" s="54"/>
      <c r="C19" s="90"/>
      <c r="D19" s="91"/>
      <c r="E19" s="92" t="s">
        <v>44</v>
      </c>
      <c r="F19" s="93">
        <f>1/SUM(H7:H18)</f>
        <v>0.3589232303090728</v>
      </c>
      <c r="G19" s="94" t="s">
        <v>26</v>
      </c>
      <c r="I19" s="58"/>
    </row>
    <row r="20" spans="2:21" s="101" customFormat="1" ht="17.25" x14ac:dyDescent="0.3">
      <c r="B20" s="95"/>
      <c r="C20" s="96"/>
      <c r="D20" s="96"/>
      <c r="E20" s="97" t="s">
        <v>57</v>
      </c>
      <c r="F20" s="98">
        <f>SUM(G8:G17)</f>
        <v>0.30500000000000005</v>
      </c>
      <c r="G20" s="99" t="s">
        <v>58</v>
      </c>
      <c r="H20" s="96"/>
      <c r="I20" s="100"/>
      <c r="U20" s="84"/>
    </row>
    <row r="21" spans="2:21" ht="10.5" customHeight="1" x14ac:dyDescent="0.3">
      <c r="J21" s="91"/>
      <c r="K21" s="91"/>
      <c r="L21" s="152"/>
      <c r="M21" s="152"/>
      <c r="N21" s="152"/>
      <c r="O21" s="152"/>
      <c r="P21" s="152"/>
      <c r="Q21" s="152"/>
      <c r="R21" s="91"/>
      <c r="S21" s="91"/>
    </row>
    <row r="22" spans="2:21" ht="9" customHeight="1" x14ac:dyDescent="0.3">
      <c r="J22" s="91"/>
      <c r="K22" s="91"/>
      <c r="L22" s="152"/>
      <c r="M22" s="152"/>
      <c r="N22" s="152"/>
      <c r="O22" s="152"/>
      <c r="P22" s="152"/>
      <c r="Q22" s="152"/>
      <c r="R22" s="91"/>
      <c r="S22" s="91"/>
    </row>
    <row r="23" spans="2:21" ht="19.5" customHeight="1" x14ac:dyDescent="0.25">
      <c r="B23" s="102"/>
      <c r="C23" s="103" t="s">
        <v>48</v>
      </c>
      <c r="D23" s="103"/>
      <c r="E23" s="103"/>
      <c r="F23" s="103"/>
      <c r="G23" s="103"/>
      <c r="H23" s="104"/>
      <c r="J23" s="91"/>
      <c r="K23" s="91"/>
      <c r="L23" s="171"/>
      <c r="M23" s="171"/>
      <c r="N23" s="171"/>
      <c r="O23" s="171"/>
      <c r="P23" s="171"/>
      <c r="Q23" s="171"/>
      <c r="R23" s="91"/>
      <c r="S23" s="91"/>
    </row>
    <row r="24" spans="2:21" ht="15.75" x14ac:dyDescent="0.25">
      <c r="B24" s="105"/>
      <c r="C24" s="103" t="s">
        <v>50</v>
      </c>
      <c r="D24" s="103"/>
      <c r="E24" s="103"/>
      <c r="F24" s="103"/>
      <c r="G24" s="103"/>
      <c r="H24" s="104"/>
      <c r="J24" s="91"/>
      <c r="K24" s="91"/>
      <c r="L24" s="171"/>
      <c r="M24" s="171"/>
      <c r="N24" s="171"/>
      <c r="O24" s="171"/>
      <c r="P24" s="171"/>
      <c r="Q24" s="171"/>
      <c r="R24" s="91"/>
      <c r="S24" s="91"/>
      <c r="U24" s="84"/>
    </row>
    <row r="25" spans="2:21" ht="15.75" x14ac:dyDescent="0.25">
      <c r="B25" s="105"/>
      <c r="C25" s="105"/>
      <c r="D25" s="105"/>
      <c r="E25" s="105"/>
      <c r="F25" s="105"/>
      <c r="G25" s="105"/>
      <c r="H25" s="105"/>
      <c r="J25" s="91"/>
      <c r="K25" s="91"/>
      <c r="L25" s="158"/>
      <c r="M25" s="158"/>
      <c r="N25" s="158"/>
      <c r="O25" s="106"/>
      <c r="P25" s="107"/>
      <c r="Q25" s="91"/>
      <c r="R25" s="91"/>
      <c r="S25" s="91"/>
    </row>
    <row r="26" spans="2:21" ht="15.75" x14ac:dyDescent="0.25">
      <c r="B26" s="105"/>
      <c r="C26" s="105"/>
      <c r="D26" s="105"/>
      <c r="E26" s="105"/>
      <c r="F26" s="105"/>
      <c r="G26" s="105"/>
      <c r="H26" s="105"/>
      <c r="J26" s="91"/>
      <c r="K26" s="91"/>
      <c r="L26" s="159"/>
      <c r="M26" s="159"/>
      <c r="N26" s="159"/>
      <c r="O26" s="108"/>
      <c r="P26" s="109"/>
      <c r="Q26" s="91"/>
      <c r="R26" s="91"/>
      <c r="S26" s="91"/>
    </row>
    <row r="27" spans="2:21" ht="6" customHeight="1" x14ac:dyDescent="0.25">
      <c r="B27" s="105"/>
      <c r="C27" s="105"/>
      <c r="D27" s="105"/>
      <c r="E27" s="105"/>
      <c r="F27" s="105"/>
      <c r="G27" s="105"/>
      <c r="H27" s="105"/>
      <c r="I27" s="84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21" s="84" customFormat="1" ht="15.75" x14ac:dyDescent="0.25">
      <c r="B28" s="105"/>
      <c r="C28" s="105"/>
      <c r="D28" s="105"/>
      <c r="E28" s="105"/>
      <c r="F28" s="105"/>
      <c r="G28" s="105"/>
      <c r="H28" s="105"/>
      <c r="J28" s="153"/>
      <c r="K28" s="153"/>
      <c r="L28" s="157"/>
      <c r="M28" s="157"/>
      <c r="N28" s="157"/>
      <c r="O28" s="157"/>
      <c r="P28" s="157"/>
      <c r="Q28" s="157"/>
      <c r="R28" s="153"/>
      <c r="S28" s="153"/>
      <c r="U28" s="47"/>
    </row>
    <row r="29" spans="2:21" s="84" customFormat="1" ht="8.25" customHeight="1" x14ac:dyDescent="0.25">
      <c r="B29" s="105"/>
      <c r="G29" s="105"/>
      <c r="H29" s="105"/>
      <c r="J29" s="153"/>
      <c r="K29" s="153"/>
      <c r="L29" s="153"/>
      <c r="M29" s="153"/>
      <c r="N29" s="153"/>
      <c r="O29" s="154"/>
      <c r="P29" s="154"/>
      <c r="Q29" s="153"/>
      <c r="R29" s="153"/>
      <c r="S29" s="153"/>
      <c r="U29" s="47"/>
    </row>
    <row r="30" spans="2:21" s="84" customFormat="1" ht="15.75" x14ac:dyDescent="0.25">
      <c r="B30" s="105"/>
      <c r="C30" s="105" t="s">
        <v>45</v>
      </c>
      <c r="D30" s="110" t="s">
        <v>46</v>
      </c>
      <c r="E30" s="105"/>
      <c r="F30" s="105"/>
      <c r="G30" s="111"/>
      <c r="H30" s="47"/>
      <c r="I30" s="47"/>
      <c r="J30" s="153"/>
      <c r="K30" s="91"/>
      <c r="L30" s="153"/>
      <c r="M30" s="153"/>
      <c r="N30" s="153"/>
      <c r="O30" s="154"/>
      <c r="P30" s="154"/>
      <c r="Q30" s="153"/>
      <c r="R30" s="153"/>
      <c r="S30" s="153"/>
      <c r="T30" s="47"/>
      <c r="U30" s="47"/>
    </row>
    <row r="31" spans="2:21" ht="6" customHeight="1" x14ac:dyDescent="0.25">
      <c r="G31" s="111"/>
    </row>
    <row r="32" spans="2:21" ht="15.75" x14ac:dyDescent="0.25">
      <c r="C32" s="113" t="s">
        <v>59</v>
      </c>
      <c r="D32" s="113"/>
      <c r="E32" s="111"/>
      <c r="F32" s="111"/>
      <c r="G32" s="111"/>
      <c r="Q32" s="84"/>
      <c r="U32" s="84"/>
    </row>
    <row r="33" spans="1:32" ht="15.75" x14ac:dyDescent="0.25">
      <c r="C33" s="113" t="s">
        <v>47</v>
      </c>
      <c r="D33" s="111"/>
      <c r="E33" s="111"/>
      <c r="F33" s="111"/>
      <c r="U33" s="84"/>
    </row>
    <row r="34" spans="1:32" ht="15.75" x14ac:dyDescent="0.25">
      <c r="C34" s="114" t="s">
        <v>60</v>
      </c>
      <c r="D34" s="111"/>
      <c r="G34" s="84"/>
      <c r="H34" s="84"/>
      <c r="I34" s="84"/>
      <c r="K34" s="84"/>
    </row>
    <row r="35" spans="1:32" s="84" customFormat="1" ht="15.75" x14ac:dyDescent="0.25">
      <c r="C35" s="47"/>
      <c r="D35" s="47"/>
      <c r="E35" s="47"/>
      <c r="F35" s="47"/>
      <c r="G35" s="47"/>
      <c r="H35" s="47"/>
      <c r="I35" s="47"/>
      <c r="K35" s="47"/>
      <c r="O35" s="112"/>
      <c r="Q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12"/>
      <c r="AF35" s="112"/>
    </row>
    <row r="37" spans="1:32" hidden="1" x14ac:dyDescent="0.25"/>
    <row r="38" spans="1:32" s="1" customFormat="1" hidden="1" x14ac:dyDescent="0.25"/>
    <row r="39" spans="1:32" s="8" customFormat="1" ht="15.75" hidden="1" x14ac:dyDescent="0.25">
      <c r="A39" s="1"/>
      <c r="B39" s="1"/>
      <c r="C39" s="2" t="s">
        <v>27</v>
      </c>
      <c r="D39" s="160" t="s">
        <v>22</v>
      </c>
      <c r="E39" s="161"/>
      <c r="F39" s="161"/>
      <c r="G39" s="161"/>
      <c r="H39" s="162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 t="s">
        <v>23</v>
      </c>
      <c r="Z39" s="5"/>
      <c r="AA39" s="5"/>
      <c r="AB39" s="5"/>
      <c r="AC39" s="5"/>
      <c r="AD39" s="6"/>
      <c r="AE39" s="1"/>
      <c r="AF39" s="7"/>
    </row>
    <row r="40" spans="1:32" s="1" customFormat="1" hidden="1" x14ac:dyDescent="0.25">
      <c r="A40" s="9"/>
      <c r="B40" s="2" t="s">
        <v>28</v>
      </c>
      <c r="C40" s="10">
        <f>IMARGUMENT(D40)/2/PI()*24</f>
        <v>-11.858741737804076</v>
      </c>
      <c r="D40" s="160" t="str">
        <f>Y52</f>
        <v>-13,9778464562229-0,51715508291878i</v>
      </c>
      <c r="E40" s="161"/>
      <c r="F40" s="161"/>
      <c r="G40" s="161"/>
      <c r="H40" s="162"/>
      <c r="J40" s="11" t="s">
        <v>3</v>
      </c>
      <c r="K40" s="12" t="s">
        <v>4</v>
      </c>
      <c r="L40" s="12" t="str">
        <f>"-delta/(2l)"</f>
        <v>-delta/(2l)</v>
      </c>
      <c r="M40" s="12" t="str">
        <f>"-l/delta"</f>
        <v>-l/delta</v>
      </c>
      <c r="N40" s="12" t="s">
        <v>5</v>
      </c>
      <c r="O40" s="12" t="s">
        <v>6</v>
      </c>
      <c r="P40" s="12" t="s">
        <v>7</v>
      </c>
      <c r="Q40" s="12" t="s">
        <v>8</v>
      </c>
      <c r="R40" s="12" t="s">
        <v>9</v>
      </c>
      <c r="S40" s="12" t="s">
        <v>10</v>
      </c>
      <c r="T40" s="12" t="s">
        <v>11</v>
      </c>
      <c r="U40" s="12" t="s">
        <v>12</v>
      </c>
      <c r="V40" s="12" t="s">
        <v>13</v>
      </c>
      <c r="W40" s="13"/>
      <c r="Y40" s="14" t="s">
        <v>11</v>
      </c>
      <c r="Z40" s="15" t="s">
        <v>12</v>
      </c>
      <c r="AA40" s="15" t="s">
        <v>13</v>
      </c>
      <c r="AB40" s="15" t="s">
        <v>16</v>
      </c>
      <c r="AC40" s="15"/>
      <c r="AD40" s="16"/>
    </row>
    <row r="41" spans="1:32" s="1" customFormat="1" hidden="1" x14ac:dyDescent="0.25">
      <c r="A41" s="17" t="s">
        <v>11</v>
      </c>
      <c r="B41" s="10">
        <f>IMABS(D40)</f>
        <v>13.987410086700534</v>
      </c>
      <c r="C41" s="10">
        <f>IMARGUMENT(D41)/2/PI()*24</f>
        <v>0.99235197412489684</v>
      </c>
      <c r="D41" s="160" t="str">
        <f>AA52</f>
        <v>80,2783650810521+21,3383375910332i</v>
      </c>
      <c r="E41" s="161"/>
      <c r="F41" s="161"/>
      <c r="G41" s="161"/>
      <c r="H41" s="162"/>
      <c r="J41" s="18"/>
      <c r="K41" s="19"/>
      <c r="L41" s="19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21"/>
      <c r="Y41" s="22" t="str">
        <f>COMPLEX(1,0)</f>
        <v>1</v>
      </c>
      <c r="Z41" s="23" t="str">
        <f>COMPLEX(-H7,0)</f>
        <v>-0,13</v>
      </c>
      <c r="AA41" s="23" t="str">
        <f>COMPLEX(0,0)</f>
        <v>0</v>
      </c>
      <c r="AB41" s="23" t="str">
        <f>COMPLEX(1,0)</f>
        <v>1</v>
      </c>
      <c r="AC41" s="23"/>
      <c r="AD41" s="24"/>
    </row>
    <row r="42" spans="1:32" s="1" customFormat="1" hidden="1" x14ac:dyDescent="0.25">
      <c r="A42" s="17" t="s">
        <v>13</v>
      </c>
      <c r="B42" s="10">
        <f>IMABS(D41)</f>
        <v>83.065880788899037</v>
      </c>
      <c r="C42" s="10">
        <f>IMARGUMENT(D42)/2/PI()*24</f>
        <v>-3.8911826439523658</v>
      </c>
      <c r="D42" s="178" t="str">
        <f>Z52</f>
        <v>8,66054454536905-14,0597700973338i</v>
      </c>
      <c r="E42" s="178"/>
      <c r="F42" s="178"/>
      <c r="G42" s="178"/>
      <c r="H42" s="178"/>
      <c r="J42" s="18">
        <f t="shared" ref="J42:J51" si="2">IF(AND(D8&gt;0,E8&gt;0,F8&gt;0),SQRT((D8*24*3600)/(PI()*E8*F8)),0)</f>
        <v>0.14361922094451576</v>
      </c>
      <c r="K42" s="19">
        <f t="shared" ref="K42:K51" si="3">IF(AND(D8&gt;0,E8&gt;0,F8&gt;0),G8/J42,0)</f>
        <v>1.3925712636838892</v>
      </c>
      <c r="L42" s="19">
        <f t="shared" ref="L42:L51" si="4">IF(J42&lt;&gt;0,-J42/(2*D8),0)</f>
        <v>-3.9894228040143268E-2</v>
      </c>
      <c r="M42" s="19">
        <f t="shared" ref="M42:M51" si="5">IF(D8&lt;&gt;0,-D8/J42,0)</f>
        <v>-12.533141373155003</v>
      </c>
      <c r="N42" s="19">
        <f>COSH(K42)*COS(K42)</f>
        <v>0.37882035596621638</v>
      </c>
      <c r="O42" s="19">
        <f>SINH(K42)*SIN(K42)</f>
        <v>1.8584634039622401</v>
      </c>
      <c r="P42" s="19">
        <f>L42*(SINH(K42)*COS(K42)+COSH(K42)*SIN(K42))</f>
        <v>-9.7251786295199899E-2</v>
      </c>
      <c r="Q42" s="19">
        <f>L42*(COSH(K42)*SIN(K42)-SINH(K42)*COS(K42))</f>
        <v>-7.0540452414408358E-2</v>
      </c>
      <c r="R42" s="19">
        <f>M42*(SINH(K42)*COS(K42)-COSH(K42)*SIN(K42))</f>
        <v>22.160936708600566</v>
      </c>
      <c r="S42" s="19">
        <f>M42*(SINH(K42)*COS(K42)+COSH(K42)*SIN(K42))</f>
        <v>-30.552549737348453</v>
      </c>
      <c r="T42" s="19" t="str">
        <f>COMPLEX(N42,O42)</f>
        <v>0,378820355966216+1,85846340396224i</v>
      </c>
      <c r="U42" s="19" t="str">
        <f>COMPLEX(P42,Q42)</f>
        <v>-0,0972517862951999-0,0705404524144084i</v>
      </c>
      <c r="V42" s="19" t="str">
        <f>COMPLEX(R42,S42)</f>
        <v>22,1609367086006-30,5525497373485i</v>
      </c>
      <c r="W42" s="21"/>
      <c r="Y42" s="22" t="str">
        <f>IMSUM(IMPRODUCT(Y41,T42),IMPRODUCT(Z41,V42))</f>
        <v>-2,50210141615186+5,83029486981754i</v>
      </c>
      <c r="Z42" s="23" t="str">
        <f>IMSUM(IMPRODUCT(Y41,U42),IMPRODUCT(Z41,T42))</f>
        <v>-0,146498432570808-0,312140694929499i</v>
      </c>
      <c r="AA42" s="23" t="str">
        <f>IMSUM(IMPRODUCT(AB41,V42),IMPRODUCT(AA41,T42))</f>
        <v>22,1609367086006-30,5525497373485i</v>
      </c>
      <c r="AB42" s="23" t="str">
        <f>IMSUM(IMPRODUCT(AA41,U42),IMPRODUCT(AB41,T42))</f>
        <v>0,378820355966216+1,85846340396224i</v>
      </c>
      <c r="AC42" s="23"/>
      <c r="AD42" s="24"/>
    </row>
    <row r="43" spans="1:32" s="1" customFormat="1" hidden="1" x14ac:dyDescent="0.25">
      <c r="A43" s="17" t="s">
        <v>12</v>
      </c>
      <c r="B43" s="10">
        <f>IMABS(D42)</f>
        <v>16.513090777083594</v>
      </c>
      <c r="C43" s="10">
        <f>IMARGUMENT(D43)/2/PI()*24</f>
        <v>8.9618263056808942</v>
      </c>
      <c r="D43" s="178" t="str">
        <f>AB52</f>
        <v>-68,6822511492357+70,0689560408111i</v>
      </c>
      <c r="E43" s="178"/>
      <c r="F43" s="178"/>
      <c r="G43" s="178"/>
      <c r="H43" s="178"/>
      <c r="J43" s="18">
        <f t="shared" si="2"/>
        <v>0.1618405275227365</v>
      </c>
      <c r="K43" s="19">
        <f t="shared" si="3"/>
        <v>0.61789220247043064</v>
      </c>
      <c r="L43" s="19">
        <f t="shared" si="4"/>
        <v>-2.0230065940342064</v>
      </c>
      <c r="M43" s="19">
        <f t="shared" si="5"/>
        <v>-0.24715688098817223</v>
      </c>
      <c r="N43" s="19">
        <f t="shared" ref="N43:N44" si="6">COSH(K43)*COS(K43)</f>
        <v>0.97571439851246911</v>
      </c>
      <c r="O43" s="19">
        <f t="shared" ref="O43:O44" si="7">SINH(K43)*SIN(K43)</f>
        <v>0.38117249624164051</v>
      </c>
      <c r="P43" s="19">
        <f t="shared" ref="P43:P44" si="8">L43*(SINH(K43)*COS(K43)+COSH(K43)*SIN(K43))</f>
        <v>-2.4878553257327152</v>
      </c>
      <c r="Q43" s="19">
        <f t="shared" ref="Q43:Q44" si="9">L43*(COSH(K43)*SIN(K43)-SINH(K43)*COS(K43))</f>
        <v>-0.31793815549825755</v>
      </c>
      <c r="R43" s="19">
        <f t="shared" ref="R43:R44" si="10">M43*(SINH(K43)*COS(K43)-COSH(K43)*SIN(K43))</f>
        <v>3.8843473418136147E-2</v>
      </c>
      <c r="S43" s="19">
        <f t="shared" ref="S43:S44" si="11">M43*(SINH(K43)*COS(K43)+COSH(K43)*SIN(K43))</f>
        <v>-0.30394886723118325</v>
      </c>
      <c r="T43" s="19" t="str">
        <f t="shared" ref="T43" si="12">COMPLEX(N43,O43)</f>
        <v>0,975714398512469+0,381172496241641i</v>
      </c>
      <c r="U43" s="19" t="str">
        <f t="shared" ref="U43:U44" si="13">COMPLEX(P43,Q43)</f>
        <v>-2,48785532573272-0,317938155498258i</v>
      </c>
      <c r="V43" s="19" t="str">
        <f t="shared" ref="V43:V44" si="14">COMPLEX(R43,S43)</f>
        <v>0,0388434734181361-0,303948867231183i</v>
      </c>
      <c r="W43" s="21"/>
      <c r="Y43" s="22" t="str">
        <f t="shared" ref="Y43:Y44" si="15">IMSUM(IMPRODUCT(Y42,T43),IMPRODUCT(Z42,V43))</f>
        <v>-4,76424974624293+4,76737381325484i</v>
      </c>
      <c r="Z43" s="23" t="str">
        <f t="shared" ref="Z43:Z44" si="16">IMSUM(IMPRODUCT(Y42,U43),IMPRODUCT(Z42,T43))</f>
        <v>8,05457834846356-14,0698179769897i</v>
      </c>
      <c r="AA43" s="23" t="str">
        <f t="shared" ref="AA43:AA44" si="17">IMSUM(IMPRODUCT(AB42,V43),IMPRODUCT(AA42,T43))</f>
        <v>33,8481292258893-21,4063759699787i</v>
      </c>
      <c r="AB43" s="23" t="str">
        <f>IMSUM(IMPRODUCT(AA42,U43),IMPRODUCT(AB42,T43))</f>
        <v>-65,1858003820753+70,9222416405954i</v>
      </c>
      <c r="AC43" s="23"/>
      <c r="AD43" s="24"/>
    </row>
    <row r="44" spans="1:32" s="1" customFormat="1" hidden="1" x14ac:dyDescent="0.25">
      <c r="A44" s="17" t="s">
        <v>16</v>
      </c>
      <c r="B44" s="10">
        <f>IMABS(D43)</f>
        <v>98.116819269561574</v>
      </c>
      <c r="C44" s="2"/>
      <c r="D44" s="178"/>
      <c r="E44" s="178"/>
      <c r="F44" s="178"/>
      <c r="G44" s="178"/>
      <c r="H44" s="178"/>
      <c r="J44" s="18">
        <f t="shared" si="2"/>
        <v>0.12360774464742066</v>
      </c>
      <c r="K44" s="19">
        <f t="shared" si="3"/>
        <v>4.0450539844910399E-2</v>
      </c>
      <c r="L44" s="19">
        <f t="shared" si="4"/>
        <v>-6.1803872323710332E-2</v>
      </c>
      <c r="M44" s="19">
        <f t="shared" si="5"/>
        <v>-8.0901079689820801</v>
      </c>
      <c r="N44" s="19">
        <f t="shared" si="6"/>
        <v>0.99999955378307925</v>
      </c>
      <c r="O44" s="19">
        <f t="shared" si="7"/>
        <v>1.6362461250699683E-3</v>
      </c>
      <c r="P44" s="19">
        <f t="shared" si="8"/>
        <v>-4.9999995537830773E-3</v>
      </c>
      <c r="Q44" s="19">
        <f t="shared" si="9"/>
        <v>-2.7270769214734585E-6</v>
      </c>
      <c r="R44" s="19">
        <f t="shared" si="10"/>
        <v>3.5697353426147031E-4</v>
      </c>
      <c r="S44" s="19">
        <f t="shared" si="11"/>
        <v>-0.65449841108821494</v>
      </c>
      <c r="T44" s="19" t="str">
        <f>COMPLEX(N44,O44)</f>
        <v>0,999999553783079+0,00163624612506997i</v>
      </c>
      <c r="U44" s="19" t="str">
        <f t="shared" si="13"/>
        <v>-0,00499999955378308-2,72707692147346E-06i</v>
      </c>
      <c r="V44" s="19" t="str">
        <f t="shared" si="14"/>
        <v>0,00035697353426147-0,654498411088215i</v>
      </c>
      <c r="W44" s="21"/>
      <c r="Y44" s="22" t="str">
        <f t="shared" si="15"/>
        <v>-13,9778464562229-0,51715508291878i</v>
      </c>
      <c r="Z44" s="23" t="str">
        <f t="shared" si="16"/>
        <v>8,10143068712013-14,0804563006506i</v>
      </c>
      <c r="AA44" s="23" t="str">
        <f t="shared" si="17"/>
        <v>80,2783650810521+21,3383375910332i</v>
      </c>
      <c r="AB44" s="23" t="str">
        <f t="shared" ref="AB44" si="18">IMSUM(IMPRODUCT(AA43,U44),IMPRODUCT(AB43,T44))</f>
        <v>-65,4711165459936+70,9224895444524i</v>
      </c>
      <c r="AC44" s="23"/>
      <c r="AD44" s="24"/>
    </row>
    <row r="45" spans="1:32" s="1" customFormat="1" ht="15.75" hidden="1" x14ac:dyDescent="0.25">
      <c r="A45" s="17"/>
      <c r="B45" s="2"/>
      <c r="C45" s="25">
        <f>IMARGUMENT(D45)/2/PI()*24</f>
        <v>4.0324409061482926</v>
      </c>
      <c r="D45" s="187" t="str">
        <f>IMPRODUCT(IMDIV(D40,D42),COMPLEX(-1,0))</f>
        <v>0,417279507342515+0,737137138321967i</v>
      </c>
      <c r="E45" s="187"/>
      <c r="F45" s="187"/>
      <c r="G45" s="187"/>
      <c r="H45" s="187"/>
      <c r="J45" s="18">
        <f t="shared" si="2"/>
        <v>0</v>
      </c>
      <c r="K45" s="19">
        <f t="shared" si="3"/>
        <v>0</v>
      </c>
      <c r="L45" s="19">
        <f t="shared" si="4"/>
        <v>0</v>
      </c>
      <c r="M45" s="19">
        <f t="shared" si="5"/>
        <v>0</v>
      </c>
      <c r="N45" s="19">
        <f t="shared" ref="N45:N51" si="19">COSH(K45)*COS(K45)</f>
        <v>1</v>
      </c>
      <c r="O45" s="19">
        <f t="shared" ref="O45:O51" si="20">SINH(K45)*SIN(K45)</f>
        <v>0</v>
      </c>
      <c r="P45" s="19">
        <f t="shared" ref="P45:P51" si="21">L45*(SINH(K45)*COS(K45)+COSH(K45)*SIN(K45))</f>
        <v>0</v>
      </c>
      <c r="Q45" s="19">
        <f t="shared" ref="Q45:Q51" si="22">L45*(COSH(K45)*SIN(K45)-SINH(K45)*COS(K45))</f>
        <v>0</v>
      </c>
      <c r="R45" s="19">
        <f t="shared" ref="R45:R51" si="23">M45*(SINH(K45)*COS(K45)-COSH(K45)*SIN(K45))</f>
        <v>0</v>
      </c>
      <c r="S45" s="19">
        <f t="shared" ref="S45:S51" si="24">M45*(SINH(K45)*COS(K45)+COSH(K45)*SIN(K45))</f>
        <v>0</v>
      </c>
      <c r="T45" s="19" t="str">
        <f t="shared" ref="T45:T51" si="25">COMPLEX(N45,O45)</f>
        <v>1</v>
      </c>
      <c r="U45" s="19" t="str">
        <f t="shared" ref="U45:U51" si="26">COMPLEX(P45,Q45)</f>
        <v>0</v>
      </c>
      <c r="V45" s="19" t="str">
        <f t="shared" ref="V45:V51" si="27">COMPLEX(R45,S45)</f>
        <v>0</v>
      </c>
      <c r="W45" s="21"/>
      <c r="Y45" s="22" t="str">
        <f t="shared" ref="Y45:Y52" si="28">IMSUM(IMPRODUCT(Y44,T45),IMPRODUCT(Z44,V45))</f>
        <v>-13,9778464562229-0,51715508291878i</v>
      </c>
      <c r="Z45" s="23" t="str">
        <f t="shared" ref="Z45:Z52" si="29">IMSUM(IMPRODUCT(Y44,U45),IMPRODUCT(Z44,T45))</f>
        <v>8,10143068712013-14,0804563006506i</v>
      </c>
      <c r="AA45" s="23" t="str">
        <f t="shared" ref="AA45:AA52" si="30">IMSUM(IMPRODUCT(AB44,V45),IMPRODUCT(AA44,T45))</f>
        <v>80,2783650810521+21,3383375910332i</v>
      </c>
      <c r="AB45" s="23" t="str">
        <f t="shared" ref="AB45:AB52" si="31">IMSUM(IMPRODUCT(AA44,U45),IMPRODUCT(AB44,T45))</f>
        <v>-65,4711165459936+70,9224895444524i</v>
      </c>
      <c r="AC45" s="23"/>
      <c r="AD45" s="24"/>
    </row>
    <row r="46" spans="1:32" s="1" customFormat="1" ht="15.75" hidden="1" x14ac:dyDescent="0.25">
      <c r="A46" s="26" t="s">
        <v>14</v>
      </c>
      <c r="B46" s="25">
        <f>IMABS(D45)</f>
        <v>0.84704979070979702</v>
      </c>
      <c r="C46" s="27">
        <f>IMARGUMENT(D46)/2/PI()*24</f>
        <v>0.85300894963325824</v>
      </c>
      <c r="D46" s="180" t="str">
        <f>IMPRODUCT(IMDIV(D43,D42),COMPLEX(-1,0))</f>
        <v>5,79421502242009+1,31589590114481i</v>
      </c>
      <c r="E46" s="180"/>
      <c r="F46" s="180"/>
      <c r="G46" s="180"/>
      <c r="H46" s="180"/>
      <c r="I46" s="28"/>
      <c r="J46" s="18">
        <f t="shared" si="2"/>
        <v>0</v>
      </c>
      <c r="K46" s="19">
        <f t="shared" si="3"/>
        <v>0</v>
      </c>
      <c r="L46" s="19">
        <f t="shared" si="4"/>
        <v>0</v>
      </c>
      <c r="M46" s="19">
        <f t="shared" si="5"/>
        <v>0</v>
      </c>
      <c r="N46" s="19">
        <f t="shared" si="19"/>
        <v>1</v>
      </c>
      <c r="O46" s="19">
        <f t="shared" si="20"/>
        <v>0</v>
      </c>
      <c r="P46" s="19">
        <f t="shared" si="21"/>
        <v>0</v>
      </c>
      <c r="Q46" s="19">
        <f t="shared" si="22"/>
        <v>0</v>
      </c>
      <c r="R46" s="19">
        <f t="shared" si="23"/>
        <v>0</v>
      </c>
      <c r="S46" s="19">
        <f t="shared" si="24"/>
        <v>0</v>
      </c>
      <c r="T46" s="19" t="str">
        <f t="shared" si="25"/>
        <v>1</v>
      </c>
      <c r="U46" s="19" t="str">
        <f t="shared" si="26"/>
        <v>0</v>
      </c>
      <c r="V46" s="19" t="str">
        <f t="shared" si="27"/>
        <v>0</v>
      </c>
      <c r="W46" s="21"/>
      <c r="Y46" s="22" t="str">
        <f t="shared" si="28"/>
        <v>-13,9778464562229-0,51715508291878i</v>
      </c>
      <c r="Z46" s="23" t="str">
        <f t="shared" si="29"/>
        <v>8,10143068712013-14,0804563006506i</v>
      </c>
      <c r="AA46" s="23" t="str">
        <f t="shared" si="30"/>
        <v>80,2783650810521+21,3383375910332i</v>
      </c>
      <c r="AB46" s="23" t="str">
        <f t="shared" si="31"/>
        <v>-65,4711165459936+70,9224895444524i</v>
      </c>
      <c r="AC46" s="23"/>
      <c r="AD46" s="24"/>
    </row>
    <row r="47" spans="1:32" s="1" customFormat="1" ht="15.75" hidden="1" x14ac:dyDescent="0.25">
      <c r="A47" s="29" t="s">
        <v>15</v>
      </c>
      <c r="B47" s="27">
        <f>IMABS(D46)</f>
        <v>5.9417598191687588</v>
      </c>
      <c r="C47" s="30">
        <f>IMARGUMENT(D47)/2/PI()*24-12</f>
        <v>-8.1088173560476378</v>
      </c>
      <c r="D47" s="188" t="str">
        <f>IMDIV(COMPLEX(1,0),D42)</f>
        <v>0,0317605828069478+0,0515610179110267i</v>
      </c>
      <c r="E47" s="188"/>
      <c r="F47" s="188"/>
      <c r="G47" s="188"/>
      <c r="H47" s="188"/>
      <c r="I47" s="31"/>
      <c r="J47" s="18">
        <f t="shared" si="2"/>
        <v>0</v>
      </c>
      <c r="K47" s="19">
        <f t="shared" si="3"/>
        <v>0</v>
      </c>
      <c r="L47" s="19">
        <f t="shared" si="4"/>
        <v>0</v>
      </c>
      <c r="M47" s="19">
        <f t="shared" si="5"/>
        <v>0</v>
      </c>
      <c r="N47" s="19">
        <f t="shared" si="19"/>
        <v>1</v>
      </c>
      <c r="O47" s="19">
        <f t="shared" si="20"/>
        <v>0</v>
      </c>
      <c r="P47" s="19">
        <f t="shared" si="21"/>
        <v>0</v>
      </c>
      <c r="Q47" s="19">
        <f t="shared" si="22"/>
        <v>0</v>
      </c>
      <c r="R47" s="19">
        <f t="shared" si="23"/>
        <v>0</v>
      </c>
      <c r="S47" s="19">
        <f t="shared" si="24"/>
        <v>0</v>
      </c>
      <c r="T47" s="19" t="str">
        <f t="shared" si="25"/>
        <v>1</v>
      </c>
      <c r="U47" s="19" t="str">
        <f t="shared" si="26"/>
        <v>0</v>
      </c>
      <c r="V47" s="19" t="str">
        <f t="shared" si="27"/>
        <v>0</v>
      </c>
      <c r="W47" s="21"/>
      <c r="Y47" s="22" t="str">
        <f t="shared" si="28"/>
        <v>-13,9778464562229-0,51715508291878i</v>
      </c>
      <c r="Z47" s="23" t="str">
        <f t="shared" si="29"/>
        <v>8,10143068712013-14,0804563006506i</v>
      </c>
      <c r="AA47" s="23" t="str">
        <f t="shared" si="30"/>
        <v>80,2783650810521+21,3383375910332i</v>
      </c>
      <c r="AB47" s="23" t="str">
        <f t="shared" si="31"/>
        <v>-65,4711165459936+70,9224895444524i</v>
      </c>
      <c r="AC47" s="23"/>
      <c r="AD47" s="24"/>
    </row>
    <row r="48" spans="1:32" s="8" customFormat="1" ht="15.75" hidden="1" x14ac:dyDescent="0.25">
      <c r="A48" s="32" t="s">
        <v>19</v>
      </c>
      <c r="B48" s="30">
        <f>IMABS(D47)</f>
        <v>6.0558015062072534E-2</v>
      </c>
      <c r="C48" s="2"/>
      <c r="D48" s="178"/>
      <c r="E48" s="178"/>
      <c r="F48" s="178"/>
      <c r="G48" s="178"/>
      <c r="H48" s="178"/>
      <c r="I48" s="7"/>
      <c r="J48" s="18">
        <f t="shared" si="2"/>
        <v>0</v>
      </c>
      <c r="K48" s="19">
        <f t="shared" si="3"/>
        <v>0</v>
      </c>
      <c r="L48" s="19">
        <f t="shared" si="4"/>
        <v>0</v>
      </c>
      <c r="M48" s="19">
        <f t="shared" si="5"/>
        <v>0</v>
      </c>
      <c r="N48" s="19">
        <f t="shared" si="19"/>
        <v>1</v>
      </c>
      <c r="O48" s="19">
        <f t="shared" si="20"/>
        <v>0</v>
      </c>
      <c r="P48" s="19">
        <f t="shared" si="21"/>
        <v>0</v>
      </c>
      <c r="Q48" s="19">
        <f t="shared" si="22"/>
        <v>0</v>
      </c>
      <c r="R48" s="19">
        <f t="shared" si="23"/>
        <v>0</v>
      </c>
      <c r="S48" s="19">
        <f t="shared" si="24"/>
        <v>0</v>
      </c>
      <c r="T48" s="19" t="str">
        <f t="shared" si="25"/>
        <v>1</v>
      </c>
      <c r="U48" s="19" t="str">
        <f t="shared" si="26"/>
        <v>0</v>
      </c>
      <c r="V48" s="19" t="str">
        <f t="shared" si="27"/>
        <v>0</v>
      </c>
      <c r="W48" s="21"/>
      <c r="X48" s="1"/>
      <c r="Y48" s="22" t="str">
        <f t="shared" si="28"/>
        <v>-13,9778464562229-0,51715508291878i</v>
      </c>
      <c r="Z48" s="23" t="str">
        <f t="shared" si="29"/>
        <v>8,10143068712013-14,0804563006506i</v>
      </c>
      <c r="AA48" s="23" t="str">
        <f t="shared" si="30"/>
        <v>80,2783650810521+21,3383375910332i</v>
      </c>
      <c r="AB48" s="23" t="str">
        <f t="shared" si="31"/>
        <v>-65,4711165459936+70,9224895444524i</v>
      </c>
      <c r="AC48" s="23"/>
      <c r="AD48" s="24"/>
      <c r="AE48" s="1"/>
    </row>
    <row r="49" spans="1:31" s="1" customFormat="1" hidden="1" x14ac:dyDescent="0.25">
      <c r="A49" s="17"/>
      <c r="B49" s="2"/>
      <c r="C49" s="2"/>
      <c r="D49" s="178"/>
      <c r="E49" s="178"/>
      <c r="F49" s="178"/>
      <c r="G49" s="178"/>
      <c r="H49" s="178"/>
      <c r="J49" s="18">
        <f t="shared" si="2"/>
        <v>0</v>
      </c>
      <c r="K49" s="19">
        <f t="shared" si="3"/>
        <v>0</v>
      </c>
      <c r="L49" s="19">
        <f t="shared" si="4"/>
        <v>0</v>
      </c>
      <c r="M49" s="19">
        <f t="shared" si="5"/>
        <v>0</v>
      </c>
      <c r="N49" s="19">
        <f t="shared" si="19"/>
        <v>1</v>
      </c>
      <c r="O49" s="19">
        <f t="shared" si="20"/>
        <v>0</v>
      </c>
      <c r="P49" s="19">
        <f t="shared" si="21"/>
        <v>0</v>
      </c>
      <c r="Q49" s="19">
        <f t="shared" si="22"/>
        <v>0</v>
      </c>
      <c r="R49" s="19">
        <f t="shared" si="23"/>
        <v>0</v>
      </c>
      <c r="S49" s="19">
        <f t="shared" si="24"/>
        <v>0</v>
      </c>
      <c r="T49" s="19" t="str">
        <f t="shared" si="25"/>
        <v>1</v>
      </c>
      <c r="U49" s="19" t="str">
        <f t="shared" si="26"/>
        <v>0</v>
      </c>
      <c r="V49" s="19" t="str">
        <f t="shared" si="27"/>
        <v>0</v>
      </c>
      <c r="W49" s="21"/>
      <c r="Y49" s="22" t="str">
        <f t="shared" si="28"/>
        <v>-13,9778464562229-0,51715508291878i</v>
      </c>
      <c r="Z49" s="23" t="str">
        <f t="shared" si="29"/>
        <v>8,10143068712013-14,0804563006506i</v>
      </c>
      <c r="AA49" s="23" t="str">
        <f t="shared" si="30"/>
        <v>80,2783650810521+21,3383375910332i</v>
      </c>
      <c r="AB49" s="23" t="str">
        <f t="shared" si="31"/>
        <v>-65,4711165459936+70,9224895444524i</v>
      </c>
      <c r="AC49" s="23"/>
      <c r="AD49" s="24"/>
    </row>
    <row r="50" spans="1:31" s="1" customFormat="1" hidden="1" x14ac:dyDescent="0.25">
      <c r="A50" s="17"/>
      <c r="B50" s="2"/>
      <c r="C50" s="33"/>
      <c r="D50" s="179" t="str">
        <f>IMSUM(D40,COMPLEX(-1,0))</f>
        <v>-14,9778464562229-0,51715508291878i</v>
      </c>
      <c r="E50" s="179"/>
      <c r="F50" s="179"/>
      <c r="G50" s="179"/>
      <c r="H50" s="179"/>
      <c r="J50" s="18">
        <f t="shared" si="2"/>
        <v>0</v>
      </c>
      <c r="K50" s="19">
        <f t="shared" si="3"/>
        <v>0</v>
      </c>
      <c r="L50" s="19">
        <f t="shared" si="4"/>
        <v>0</v>
      </c>
      <c r="M50" s="19">
        <f t="shared" si="5"/>
        <v>0</v>
      </c>
      <c r="N50" s="19">
        <f t="shared" si="19"/>
        <v>1</v>
      </c>
      <c r="O50" s="19">
        <f t="shared" si="20"/>
        <v>0</v>
      </c>
      <c r="P50" s="19">
        <f t="shared" si="21"/>
        <v>0</v>
      </c>
      <c r="Q50" s="19">
        <f t="shared" si="22"/>
        <v>0</v>
      </c>
      <c r="R50" s="19">
        <f t="shared" si="23"/>
        <v>0</v>
      </c>
      <c r="S50" s="19">
        <f t="shared" si="24"/>
        <v>0</v>
      </c>
      <c r="T50" s="19" t="str">
        <f t="shared" si="25"/>
        <v>1</v>
      </c>
      <c r="U50" s="19" t="str">
        <f t="shared" si="26"/>
        <v>0</v>
      </c>
      <c r="V50" s="19" t="str">
        <f t="shared" si="27"/>
        <v>0</v>
      </c>
      <c r="W50" s="21"/>
      <c r="Y50" s="22" t="str">
        <f t="shared" si="28"/>
        <v>-13,9778464562229-0,51715508291878i</v>
      </c>
      <c r="Z50" s="23" t="str">
        <f t="shared" si="29"/>
        <v>8,10143068712013-14,0804563006506i</v>
      </c>
      <c r="AA50" s="23" t="str">
        <f t="shared" si="30"/>
        <v>80,2783650810521+21,3383375910332i</v>
      </c>
      <c r="AB50" s="23" t="str">
        <f t="shared" si="31"/>
        <v>-65,4711165459936+70,9224895444524i</v>
      </c>
      <c r="AC50" s="23"/>
      <c r="AD50" s="24"/>
    </row>
    <row r="51" spans="1:31" s="1" customFormat="1" hidden="1" x14ac:dyDescent="0.25">
      <c r="A51" s="34" t="s">
        <v>17</v>
      </c>
      <c r="B51" s="33"/>
      <c r="C51" s="33"/>
      <c r="D51" s="179" t="str">
        <f>D42</f>
        <v>8,66054454536905-14,0597700973338i</v>
      </c>
      <c r="E51" s="179"/>
      <c r="F51" s="179"/>
      <c r="G51" s="179"/>
      <c r="H51" s="179"/>
      <c r="J51" s="18">
        <f t="shared" si="2"/>
        <v>0</v>
      </c>
      <c r="K51" s="19">
        <f t="shared" si="3"/>
        <v>0</v>
      </c>
      <c r="L51" s="19">
        <f t="shared" si="4"/>
        <v>0</v>
      </c>
      <c r="M51" s="19">
        <f t="shared" si="5"/>
        <v>0</v>
      </c>
      <c r="N51" s="19">
        <f t="shared" si="19"/>
        <v>1</v>
      </c>
      <c r="O51" s="19">
        <f t="shared" si="20"/>
        <v>0</v>
      </c>
      <c r="P51" s="19">
        <f t="shared" si="21"/>
        <v>0</v>
      </c>
      <c r="Q51" s="19">
        <f t="shared" si="22"/>
        <v>0</v>
      </c>
      <c r="R51" s="19">
        <f t="shared" si="23"/>
        <v>0</v>
      </c>
      <c r="S51" s="19">
        <f t="shared" si="24"/>
        <v>0</v>
      </c>
      <c r="T51" s="19" t="str">
        <f t="shared" si="25"/>
        <v>1</v>
      </c>
      <c r="U51" s="19" t="str">
        <f t="shared" si="26"/>
        <v>0</v>
      </c>
      <c r="V51" s="19" t="str">
        <f t="shared" si="27"/>
        <v>0</v>
      </c>
      <c r="W51" s="21"/>
      <c r="Y51" s="22" t="str">
        <f t="shared" si="28"/>
        <v>-13,9778464562229-0,51715508291878i</v>
      </c>
      <c r="Z51" s="23" t="str">
        <f t="shared" si="29"/>
        <v>8,10143068712013-14,0804563006506i</v>
      </c>
      <c r="AA51" s="23" t="str">
        <f t="shared" si="30"/>
        <v>80,2783650810521+21,3383375910332i</v>
      </c>
      <c r="AB51" s="23" t="str">
        <f t="shared" si="31"/>
        <v>-65,4711165459936+70,9224895444524i</v>
      </c>
      <c r="AC51" s="23"/>
      <c r="AD51" s="24"/>
    </row>
    <row r="52" spans="1:31" s="1" customFormat="1" ht="15.75" hidden="1" x14ac:dyDescent="0.25">
      <c r="A52" s="34"/>
      <c r="B52" s="33"/>
      <c r="C52" s="35">
        <f>IMARGUMENT(D52)/2/PI()*24</f>
        <v>-7.9769824846998905</v>
      </c>
      <c r="D52" s="189" t="str">
        <f>IMDIV(D50,D51)</f>
        <v>-0,449040090149463-0,788698156232993i</v>
      </c>
      <c r="E52" s="189"/>
      <c r="F52" s="189"/>
      <c r="G52" s="189"/>
      <c r="H52" s="189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 t="str">
        <f>COMPLEX(1,0)</f>
        <v>1</v>
      </c>
      <c r="U52" s="19" t="str">
        <f>COMPLEX(-H18,0)</f>
        <v>-0,04</v>
      </c>
      <c r="V52" s="19" t="str">
        <f>COMPLEX(0,0)</f>
        <v>0</v>
      </c>
      <c r="W52" s="21"/>
      <c r="Y52" s="36" t="str">
        <f t="shared" si="28"/>
        <v>-13,9778464562229-0,51715508291878i</v>
      </c>
      <c r="Z52" s="37" t="str">
        <f t="shared" si="29"/>
        <v>8,66054454536905-14,0597700973338i</v>
      </c>
      <c r="AA52" s="37" t="str">
        <f t="shared" si="30"/>
        <v>80,2783650810521+21,3383375910332i</v>
      </c>
      <c r="AB52" s="37" t="str">
        <f t="shared" si="31"/>
        <v>-68,6822511492357+70,0689560408111i</v>
      </c>
      <c r="AC52" s="37"/>
      <c r="AD52" s="38"/>
    </row>
    <row r="53" spans="1:31" s="1" customFormat="1" ht="15.75" hidden="1" x14ac:dyDescent="0.25">
      <c r="A53" s="39" t="s">
        <v>20</v>
      </c>
      <c r="B53" s="40">
        <f>IMABS(D52)*3600*24/2/PI()/1000</f>
        <v>12.479971826698097</v>
      </c>
      <c r="C53" s="2"/>
      <c r="D53" s="178"/>
      <c r="E53" s="178"/>
      <c r="F53" s="178"/>
      <c r="G53" s="178"/>
      <c r="H53" s="178"/>
      <c r="I53" s="41"/>
    </row>
    <row r="54" spans="1:31" s="1" customFormat="1" ht="17.25" hidden="1" x14ac:dyDescent="0.3">
      <c r="A54" s="17"/>
      <c r="B54" s="2"/>
      <c r="C54" s="33"/>
      <c r="D54" s="179" t="str">
        <f>IMSUM(D43,COMPLEX(-1,0))</f>
        <v>-69,6822511492357+70,0689560408111i</v>
      </c>
      <c r="E54" s="179"/>
      <c r="F54" s="179"/>
      <c r="G54" s="179"/>
      <c r="H54" s="17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1" customFormat="1" hidden="1" x14ac:dyDescent="0.25">
      <c r="A55" s="34" t="s">
        <v>18</v>
      </c>
      <c r="B55" s="33"/>
      <c r="C55" s="33"/>
      <c r="D55" s="179" t="str">
        <f>D42</f>
        <v>8,66054454536905-14,0597700973338i</v>
      </c>
      <c r="E55" s="179"/>
      <c r="F55" s="179"/>
      <c r="G55" s="179"/>
      <c r="H55" s="179"/>
    </row>
    <row r="56" spans="1:31" s="1" customFormat="1" ht="15.75" hidden="1" x14ac:dyDescent="0.25">
      <c r="A56" s="34"/>
      <c r="B56" s="33"/>
      <c r="C56" s="43">
        <f>IMARGUMENT(D56)/2/PI()*24</f>
        <v>-11.119386854086581</v>
      </c>
      <c r="D56" s="180" t="str">
        <f>IMDIV(D54,D55)</f>
        <v>-5,82597560522704-1,36745691905584i</v>
      </c>
      <c r="E56" s="180"/>
      <c r="F56" s="180"/>
      <c r="G56" s="180"/>
      <c r="H56" s="180"/>
    </row>
    <row r="57" spans="1:31" s="1" customFormat="1" ht="15.75" hidden="1" x14ac:dyDescent="0.25">
      <c r="A57" s="29" t="s">
        <v>21</v>
      </c>
      <c r="B57" s="44">
        <f>IMABS(D56)*3600*24/2/PI()/1000</f>
        <v>82.290128152756267</v>
      </c>
      <c r="I57" s="31"/>
    </row>
    <row r="58" spans="1:31" s="1" customFormat="1" hidden="1" x14ac:dyDescent="0.25"/>
    <row r="59" spans="1:31" s="1" customFormat="1" hidden="1" x14ac:dyDescent="0.25"/>
    <row r="62" spans="1:31" ht="15.75" x14ac:dyDescent="0.25">
      <c r="J62" s="112"/>
      <c r="K62" s="112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ht="15.75" x14ac:dyDescent="0.25">
      <c r="I63" s="112"/>
      <c r="J63" s="112"/>
      <c r="K63" s="112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ht="15.75" x14ac:dyDescent="0.25">
      <c r="J64" s="112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</row>
    <row r="65" spans="1:9" ht="15.75" x14ac:dyDescent="0.25">
      <c r="C65" s="84"/>
      <c r="D65" s="84"/>
      <c r="E65" s="84"/>
      <c r="F65" s="84"/>
      <c r="G65" s="84"/>
    </row>
    <row r="66" spans="1:9" ht="15.75" x14ac:dyDescent="0.25">
      <c r="A66" s="84"/>
      <c r="B66" s="84"/>
      <c r="I66" s="84"/>
    </row>
  </sheetData>
  <sheetProtection algorithmName="SHA-512" hashValue="ym0e0X6GHKmbXZOUnB4+NOqLeEFL7W9OhvhLRtehjuG46MNzPCfz+jC8HP5GdjqqA4iNQvWObSgaFY/hnQghhw==" saltValue="z8WBSDOtuDJm5gv/ummoQQ==" spinCount="100000" sheet="1" objects="1" scenarios="1"/>
  <mergeCells count="39">
    <mergeCell ref="D50:H50"/>
    <mergeCell ref="D51:H51"/>
    <mergeCell ref="D52:H52"/>
    <mergeCell ref="L17:N18"/>
    <mergeCell ref="O17:O18"/>
    <mergeCell ref="D53:H53"/>
    <mergeCell ref="D55:H55"/>
    <mergeCell ref="D56:H56"/>
    <mergeCell ref="L13:N14"/>
    <mergeCell ref="O13:O14"/>
    <mergeCell ref="D40:H40"/>
    <mergeCell ref="D41:H41"/>
    <mergeCell ref="D42:H42"/>
    <mergeCell ref="D54:H54"/>
    <mergeCell ref="D45:H45"/>
    <mergeCell ref="D44:H44"/>
    <mergeCell ref="D46:H46"/>
    <mergeCell ref="D47:H47"/>
    <mergeCell ref="D48:H48"/>
    <mergeCell ref="D43:H43"/>
    <mergeCell ref="D49:H49"/>
    <mergeCell ref="D39:H39"/>
    <mergeCell ref="L6:Q6"/>
    <mergeCell ref="L7:N7"/>
    <mergeCell ref="L8:N8"/>
    <mergeCell ref="L9:N9"/>
    <mergeCell ref="L10:N10"/>
    <mergeCell ref="L12:N12"/>
    <mergeCell ref="L11:N11"/>
    <mergeCell ref="L23:Q24"/>
    <mergeCell ref="L15:N16"/>
    <mergeCell ref="O15:O16"/>
    <mergeCell ref="P15:P16"/>
    <mergeCell ref="P13:P14"/>
    <mergeCell ref="B3:D3"/>
    <mergeCell ref="O2:R2"/>
    <mergeCell ref="L28:Q28"/>
    <mergeCell ref="L25:N25"/>
    <mergeCell ref="L26:N26"/>
  </mergeCells>
  <hyperlinks>
    <hyperlink ref="D30" r:id="rId1"/>
    <hyperlink ref="O2" r:id="rId2"/>
  </hyperlinks>
  <pageMargins left="0.70866141732283472" right="0.70866141732283472" top="0.78740157480314965" bottom="0.78740157480314965" header="0.31496062992125984" footer="0.31496062992125984"/>
  <pageSetup paperSize="9" scale="7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workbookViewId="0">
      <selection activeCell="E10" sqref="E10"/>
    </sheetView>
  </sheetViews>
  <sheetFormatPr baseColWidth="10" defaultRowHeight="15" x14ac:dyDescent="0.25"/>
  <cols>
    <col min="1" max="1" width="5.140625" style="47" customWidth="1"/>
    <col min="2" max="2" width="1.42578125" style="47" customWidth="1"/>
    <col min="3" max="3" width="24.140625" style="47" customWidth="1"/>
    <col min="4" max="6" width="14.140625" style="47" customWidth="1"/>
    <col min="7" max="7" width="14.7109375" style="47" customWidth="1"/>
    <col min="8" max="8" width="11" style="47" customWidth="1"/>
    <col min="9" max="9" width="1.42578125" style="47" customWidth="1"/>
    <col min="10" max="10" width="11.140625" style="47" customWidth="1"/>
    <col min="11" max="11" width="1.42578125" style="47" customWidth="1"/>
    <col min="12" max="12" width="11.42578125" style="47"/>
    <col min="13" max="13" width="19.5703125" style="47" customWidth="1"/>
    <col min="14" max="15" width="11.42578125" style="47"/>
    <col min="16" max="16" width="10.85546875" style="47" customWidth="1"/>
    <col min="17" max="17" width="1.28515625" style="47" customWidth="1"/>
    <col min="18" max="18" width="1.42578125" style="47" customWidth="1"/>
    <col min="19" max="19" width="6.7109375" style="47" customWidth="1"/>
    <col min="20" max="20" width="11.42578125" style="47"/>
    <col min="21" max="21" width="4.140625" style="47" customWidth="1"/>
    <col min="22" max="22" width="7.7109375" style="47" customWidth="1"/>
    <col min="23" max="23" width="16.5703125" style="47" customWidth="1"/>
    <col min="24" max="24" width="14.5703125" style="47" customWidth="1"/>
    <col min="25" max="26" width="11.42578125" style="47"/>
    <col min="27" max="27" width="11.85546875" style="47" customWidth="1"/>
    <col min="28" max="29" width="11.42578125" style="47"/>
    <col min="30" max="30" width="11.42578125" style="47" customWidth="1"/>
    <col min="31" max="16384" width="11.42578125" style="47"/>
  </cols>
  <sheetData>
    <row r="1" spans="1:21" s="46" customFormat="1" ht="48" customHeight="1" x14ac:dyDescent="0.7">
      <c r="A1" s="45" t="s">
        <v>34</v>
      </c>
    </row>
    <row r="2" spans="1:21" x14ac:dyDescent="0.25">
      <c r="O2" s="156" t="s">
        <v>33</v>
      </c>
      <c r="P2" s="156"/>
      <c r="Q2" s="156"/>
      <c r="R2" s="156"/>
    </row>
    <row r="3" spans="1:21" x14ac:dyDescent="0.25">
      <c r="B3" s="155" t="s">
        <v>30</v>
      </c>
      <c r="C3" s="155"/>
      <c r="D3" s="155"/>
      <c r="E3" s="48"/>
      <c r="F3" s="48"/>
      <c r="G3" s="48"/>
    </row>
    <row r="4" spans="1:21" ht="10.5" customHeight="1" x14ac:dyDescent="0.25">
      <c r="E4" s="48"/>
      <c r="F4" s="48"/>
      <c r="G4" s="48"/>
      <c r="Q4" s="49"/>
    </row>
    <row r="5" spans="1:21" ht="7.5" customHeight="1" x14ac:dyDescent="0.25">
      <c r="B5" s="50"/>
      <c r="C5" s="51"/>
      <c r="D5" s="51"/>
      <c r="E5" s="51"/>
      <c r="F5" s="51"/>
      <c r="G5" s="51"/>
      <c r="H5" s="52"/>
      <c r="I5" s="53"/>
      <c r="K5" s="50"/>
      <c r="L5" s="51"/>
      <c r="M5" s="51"/>
      <c r="N5" s="51"/>
      <c r="O5" s="51"/>
      <c r="P5" s="51"/>
      <c r="Q5" s="51"/>
      <c r="R5" s="53"/>
    </row>
    <row r="6" spans="1:21" ht="54" customHeight="1" x14ac:dyDescent="0.25">
      <c r="B6" s="54"/>
      <c r="C6" s="55" t="s">
        <v>35</v>
      </c>
      <c r="D6" s="56" t="s">
        <v>53</v>
      </c>
      <c r="E6" s="57" t="s">
        <v>54</v>
      </c>
      <c r="F6" s="57" t="s">
        <v>55</v>
      </c>
      <c r="G6" s="57" t="s">
        <v>56</v>
      </c>
      <c r="H6" s="57" t="s">
        <v>25</v>
      </c>
      <c r="I6" s="58"/>
      <c r="K6" s="54"/>
      <c r="L6" s="163" t="s">
        <v>36</v>
      </c>
      <c r="M6" s="164"/>
      <c r="N6" s="164"/>
      <c r="O6" s="164"/>
      <c r="P6" s="164"/>
      <c r="Q6" s="164"/>
      <c r="R6" s="58"/>
    </row>
    <row r="7" spans="1:21" ht="17.25" x14ac:dyDescent="0.3">
      <c r="B7" s="54"/>
      <c r="C7" s="59" t="s">
        <v>51</v>
      </c>
      <c r="D7" s="60"/>
      <c r="E7" s="60"/>
      <c r="F7" s="60"/>
      <c r="G7" s="60"/>
      <c r="H7" s="61">
        <v>0.13</v>
      </c>
      <c r="I7" s="58"/>
      <c r="K7" s="54"/>
      <c r="L7" s="166" t="s">
        <v>43</v>
      </c>
      <c r="M7" s="166"/>
      <c r="N7" s="166"/>
      <c r="O7" s="62">
        <f>$B$46</f>
        <v>0.84704979070979702</v>
      </c>
      <c r="P7" s="63" t="s">
        <v>29</v>
      </c>
      <c r="Q7" s="64"/>
      <c r="R7" s="58"/>
    </row>
    <row r="8" spans="1:21" ht="17.25" x14ac:dyDescent="0.3">
      <c r="B8" s="54"/>
      <c r="C8" s="65" t="s">
        <v>0</v>
      </c>
      <c r="D8" s="66">
        <v>1.8</v>
      </c>
      <c r="E8" s="61">
        <v>2400</v>
      </c>
      <c r="F8" s="61">
        <v>1000</v>
      </c>
      <c r="G8" s="67">
        <v>0.2</v>
      </c>
      <c r="H8" s="68">
        <f t="shared" ref="H8:H17" si="0">IF(G8&gt;0,G8/D8,"")</f>
        <v>0.11111111111111112</v>
      </c>
      <c r="I8" s="58"/>
      <c r="K8" s="54"/>
      <c r="L8" s="167" t="s">
        <v>49</v>
      </c>
      <c r="M8" s="167"/>
      <c r="N8" s="167"/>
      <c r="O8" s="69">
        <f>$C$45</f>
        <v>4.0324409061482926</v>
      </c>
      <c r="P8" s="70" t="s">
        <v>32</v>
      </c>
      <c r="Q8" s="71"/>
      <c r="R8" s="58"/>
    </row>
    <row r="9" spans="1:21" ht="17.25" x14ac:dyDescent="0.3">
      <c r="B9" s="54"/>
      <c r="C9" s="65" t="s">
        <v>1</v>
      </c>
      <c r="D9" s="66">
        <v>0.04</v>
      </c>
      <c r="E9" s="61">
        <v>30</v>
      </c>
      <c r="F9" s="61">
        <v>1400</v>
      </c>
      <c r="G9" s="67">
        <v>0.1</v>
      </c>
      <c r="H9" s="68">
        <f t="shared" si="0"/>
        <v>2.5</v>
      </c>
      <c r="I9" s="58"/>
      <c r="K9" s="54"/>
      <c r="L9" s="168" t="s">
        <v>42</v>
      </c>
      <c r="M9" s="168"/>
      <c r="N9" s="168"/>
      <c r="O9" s="72">
        <f>$B$47</f>
        <v>5.9417598191687588</v>
      </c>
      <c r="P9" s="73" t="s">
        <v>29</v>
      </c>
      <c r="Q9" s="74"/>
      <c r="R9" s="58"/>
    </row>
    <row r="10" spans="1:21" ht="17.25" x14ac:dyDescent="0.3">
      <c r="B10" s="54"/>
      <c r="C10" s="65" t="s">
        <v>2</v>
      </c>
      <c r="D10" s="66">
        <v>1</v>
      </c>
      <c r="E10" s="61">
        <v>1200</v>
      </c>
      <c r="F10" s="61">
        <v>1500</v>
      </c>
      <c r="G10" s="67">
        <v>5.0000000000000001E-3</v>
      </c>
      <c r="H10" s="68">
        <f t="shared" si="0"/>
        <v>5.0000000000000001E-3</v>
      </c>
      <c r="I10" s="58"/>
      <c r="K10" s="54"/>
      <c r="L10" s="169" t="s">
        <v>41</v>
      </c>
      <c r="M10" s="169"/>
      <c r="N10" s="169"/>
      <c r="O10" s="75">
        <f>$C$46</f>
        <v>0.85300894963325824</v>
      </c>
      <c r="P10" s="76" t="s">
        <v>32</v>
      </c>
      <c r="Q10" s="77"/>
      <c r="R10" s="58"/>
    </row>
    <row r="11" spans="1:21" ht="17.25" x14ac:dyDescent="0.3">
      <c r="B11" s="54"/>
      <c r="C11" s="65"/>
      <c r="D11" s="66"/>
      <c r="E11" s="61"/>
      <c r="F11" s="61"/>
      <c r="G11" s="61"/>
      <c r="H11" s="68" t="str">
        <f t="shared" si="0"/>
        <v/>
      </c>
      <c r="I11" s="58"/>
      <c r="K11" s="54"/>
      <c r="L11" s="165" t="s">
        <v>40</v>
      </c>
      <c r="M11" s="165"/>
      <c r="N11" s="165"/>
      <c r="O11" s="78">
        <f>B48</f>
        <v>6.0558015062072534E-2</v>
      </c>
      <c r="P11" s="79" t="s">
        <v>29</v>
      </c>
      <c r="Q11" s="80"/>
      <c r="R11" s="58"/>
    </row>
    <row r="12" spans="1:21" ht="17.25" x14ac:dyDescent="0.3">
      <c r="B12" s="54"/>
      <c r="C12" s="65"/>
      <c r="D12" s="66"/>
      <c r="E12" s="61"/>
      <c r="F12" s="61"/>
      <c r="G12" s="61"/>
      <c r="H12" s="68" t="str">
        <f t="shared" si="0"/>
        <v/>
      </c>
      <c r="I12" s="58"/>
      <c r="K12" s="54"/>
      <c r="L12" s="170" t="s">
        <v>39</v>
      </c>
      <c r="M12" s="170"/>
      <c r="N12" s="170"/>
      <c r="O12" s="81">
        <f>C47</f>
        <v>-8.1088173560476378</v>
      </c>
      <c r="P12" s="82" t="s">
        <v>32</v>
      </c>
      <c r="Q12" s="83"/>
      <c r="R12" s="58"/>
    </row>
    <row r="13" spans="1:21" ht="17.25" x14ac:dyDescent="0.3">
      <c r="B13" s="54"/>
      <c r="C13" s="65"/>
      <c r="D13" s="66"/>
      <c r="E13" s="61"/>
      <c r="F13" s="61"/>
      <c r="G13" s="61"/>
      <c r="H13" s="68" t="str">
        <f t="shared" si="0"/>
        <v/>
      </c>
      <c r="I13" s="58"/>
      <c r="K13" s="54"/>
      <c r="L13" s="181" t="s">
        <v>38</v>
      </c>
      <c r="M13" s="181"/>
      <c r="N13" s="181"/>
      <c r="O13" s="183">
        <f>$B$53</f>
        <v>12.479971826698097</v>
      </c>
      <c r="P13" s="185" t="s">
        <v>31</v>
      </c>
      <c r="Q13" s="64"/>
      <c r="R13" s="58"/>
      <c r="U13" s="84"/>
    </row>
    <row r="14" spans="1:21" ht="17.25" x14ac:dyDescent="0.3">
      <c r="B14" s="54"/>
      <c r="C14" s="65"/>
      <c r="D14" s="66"/>
      <c r="E14" s="61"/>
      <c r="F14" s="61"/>
      <c r="G14" s="61"/>
      <c r="H14" s="68" t="str">
        <f t="shared" si="0"/>
        <v/>
      </c>
      <c r="I14" s="58"/>
      <c r="K14" s="54"/>
      <c r="L14" s="182"/>
      <c r="M14" s="182"/>
      <c r="N14" s="182"/>
      <c r="O14" s="184"/>
      <c r="P14" s="186"/>
      <c r="Q14" s="71"/>
      <c r="R14" s="58"/>
      <c r="U14" s="84"/>
    </row>
    <row r="15" spans="1:21" ht="17.25" x14ac:dyDescent="0.3">
      <c r="B15" s="54"/>
      <c r="C15" s="65"/>
      <c r="D15" s="66"/>
      <c r="E15" s="61"/>
      <c r="F15" s="61"/>
      <c r="G15" s="61"/>
      <c r="H15" s="68" t="str">
        <f t="shared" si="0"/>
        <v/>
      </c>
      <c r="I15" s="58"/>
      <c r="K15" s="54"/>
      <c r="L15" s="172" t="s">
        <v>37</v>
      </c>
      <c r="M15" s="172"/>
      <c r="N15" s="172"/>
      <c r="O15" s="174">
        <f>$B$57</f>
        <v>82.290128152756267</v>
      </c>
      <c r="P15" s="176" t="s">
        <v>31</v>
      </c>
      <c r="Q15" s="64"/>
      <c r="R15" s="58"/>
      <c r="U15" s="84"/>
    </row>
    <row r="16" spans="1:21" ht="17.25" x14ac:dyDescent="0.3">
      <c r="B16" s="54"/>
      <c r="C16" s="65"/>
      <c r="D16" s="66"/>
      <c r="E16" s="61"/>
      <c r="F16" s="61"/>
      <c r="G16" s="61"/>
      <c r="H16" s="68" t="str">
        <f t="shared" si="0"/>
        <v/>
      </c>
      <c r="I16" s="58"/>
      <c r="K16" s="54"/>
      <c r="L16" s="173"/>
      <c r="M16" s="173"/>
      <c r="N16" s="173"/>
      <c r="O16" s="175"/>
      <c r="P16" s="177"/>
      <c r="Q16" s="71"/>
      <c r="R16" s="58"/>
    </row>
    <row r="17" spans="2:21" ht="17.25" x14ac:dyDescent="0.3">
      <c r="B17" s="54"/>
      <c r="C17" s="65"/>
      <c r="D17" s="66"/>
      <c r="E17" s="61"/>
      <c r="F17" s="61"/>
      <c r="G17" s="61"/>
      <c r="H17" s="68" t="str">
        <f t="shared" si="0"/>
        <v/>
      </c>
      <c r="I17" s="58"/>
      <c r="K17" s="54"/>
      <c r="L17" s="165" t="s">
        <v>24</v>
      </c>
      <c r="M17" s="165"/>
      <c r="N17" s="165"/>
      <c r="O17" s="78">
        <f>B48/F19</f>
        <v>0.1687213586312743</v>
      </c>
      <c r="P17" s="79"/>
      <c r="Q17" s="80"/>
      <c r="R17" s="58"/>
    </row>
    <row r="18" spans="2:21" x14ac:dyDescent="0.25">
      <c r="B18" s="54"/>
      <c r="C18" s="85" t="s">
        <v>52</v>
      </c>
      <c r="D18" s="86"/>
      <c r="E18" s="86"/>
      <c r="F18" s="60"/>
      <c r="G18" s="60"/>
      <c r="H18" s="61">
        <v>0.04</v>
      </c>
      <c r="I18" s="58"/>
      <c r="K18" s="87"/>
      <c r="L18" s="88"/>
      <c r="M18" s="88"/>
      <c r="N18" s="88"/>
      <c r="O18" s="88"/>
      <c r="P18" s="88"/>
      <c r="Q18" s="88"/>
      <c r="R18" s="89"/>
    </row>
    <row r="19" spans="2:21" x14ac:dyDescent="0.25">
      <c r="B19" s="54"/>
      <c r="C19" s="90"/>
      <c r="D19" s="91"/>
      <c r="E19" s="92" t="s">
        <v>44</v>
      </c>
      <c r="F19" s="93">
        <f>1/SUM(H7:H18)</f>
        <v>0.3589232303090728</v>
      </c>
      <c r="G19" s="94" t="s">
        <v>26</v>
      </c>
      <c r="I19" s="58"/>
    </row>
    <row r="20" spans="2:21" s="101" customFormat="1" ht="17.25" x14ac:dyDescent="0.3">
      <c r="B20" s="95"/>
      <c r="C20" s="96"/>
      <c r="D20" s="96"/>
      <c r="E20" s="97" t="s">
        <v>57</v>
      </c>
      <c r="F20" s="98">
        <f>SUM(G8:G17)</f>
        <v>0.30500000000000005</v>
      </c>
      <c r="G20" s="99" t="s">
        <v>58</v>
      </c>
      <c r="H20" s="96"/>
      <c r="I20" s="100"/>
      <c r="U20" s="84"/>
    </row>
    <row r="21" spans="2:21" ht="10.5" customHeight="1" x14ac:dyDescent="0.3">
      <c r="J21" s="91"/>
      <c r="K21" s="91"/>
      <c r="L21" s="152"/>
      <c r="M21" s="152"/>
      <c r="N21" s="152"/>
      <c r="O21" s="152"/>
      <c r="P21" s="152"/>
      <c r="Q21" s="152"/>
      <c r="R21" s="91"/>
      <c r="S21" s="91"/>
    </row>
    <row r="22" spans="2:21" ht="9" customHeight="1" x14ac:dyDescent="0.3">
      <c r="J22" s="91"/>
      <c r="K22" s="91"/>
      <c r="L22" s="152"/>
      <c r="M22" s="152"/>
      <c r="N22" s="152"/>
      <c r="O22" s="152"/>
      <c r="P22" s="152"/>
      <c r="Q22" s="152"/>
      <c r="R22" s="91"/>
      <c r="S22" s="91"/>
    </row>
    <row r="23" spans="2:21" ht="19.5" customHeight="1" x14ac:dyDescent="0.25">
      <c r="B23" s="102"/>
      <c r="C23" s="103" t="s">
        <v>48</v>
      </c>
      <c r="D23" s="103"/>
      <c r="E23" s="103"/>
      <c r="F23" s="103"/>
      <c r="G23" s="103"/>
      <c r="H23" s="104"/>
      <c r="J23" s="91"/>
      <c r="K23" s="91"/>
      <c r="L23" s="171"/>
      <c r="M23" s="171"/>
      <c r="N23" s="171"/>
      <c r="O23" s="171"/>
      <c r="P23" s="171"/>
      <c r="Q23" s="171"/>
      <c r="R23" s="91"/>
      <c r="S23" s="91"/>
    </row>
    <row r="24" spans="2:21" ht="15.75" x14ac:dyDescent="0.25">
      <c r="B24" s="105"/>
      <c r="C24" s="103" t="s">
        <v>50</v>
      </c>
      <c r="D24" s="103"/>
      <c r="E24" s="103"/>
      <c r="F24" s="103"/>
      <c r="G24" s="103"/>
      <c r="H24" s="104"/>
      <c r="J24" s="91"/>
      <c r="K24" s="91"/>
      <c r="L24" s="171"/>
      <c r="M24" s="171"/>
      <c r="N24" s="171"/>
      <c r="O24" s="171"/>
      <c r="P24" s="171"/>
      <c r="Q24" s="171"/>
      <c r="R24" s="91"/>
      <c r="S24" s="91"/>
      <c r="U24" s="84"/>
    </row>
    <row r="25" spans="2:21" ht="15.75" x14ac:dyDescent="0.25">
      <c r="B25" s="105"/>
      <c r="C25" s="105"/>
      <c r="D25" s="105"/>
      <c r="E25" s="105"/>
      <c r="F25" s="105"/>
      <c r="G25" s="105"/>
      <c r="H25" s="105"/>
      <c r="J25" s="91"/>
      <c r="K25" s="91"/>
      <c r="L25" s="158"/>
      <c r="M25" s="158"/>
      <c r="N25" s="158"/>
      <c r="O25" s="106"/>
      <c r="P25" s="107"/>
      <c r="Q25" s="91"/>
      <c r="R25" s="91"/>
      <c r="S25" s="91"/>
    </row>
    <row r="26" spans="2:21" ht="15.75" x14ac:dyDescent="0.25">
      <c r="B26" s="105"/>
      <c r="C26" s="105"/>
      <c r="D26" s="105"/>
      <c r="E26" s="105"/>
      <c r="F26" s="105"/>
      <c r="G26" s="105"/>
      <c r="H26" s="105"/>
      <c r="J26" s="91"/>
      <c r="K26" s="91"/>
      <c r="L26" s="159"/>
      <c r="M26" s="159"/>
      <c r="N26" s="159"/>
      <c r="O26" s="108"/>
      <c r="P26" s="109"/>
      <c r="Q26" s="91"/>
      <c r="R26" s="91"/>
      <c r="S26" s="91"/>
    </row>
    <row r="27" spans="2:21" ht="6" customHeight="1" x14ac:dyDescent="0.25">
      <c r="B27" s="105"/>
      <c r="C27" s="105"/>
      <c r="D27" s="105"/>
      <c r="E27" s="105"/>
      <c r="F27" s="105"/>
      <c r="G27" s="105"/>
      <c r="H27" s="105"/>
      <c r="I27" s="84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21" s="84" customFormat="1" ht="15.75" x14ac:dyDescent="0.25">
      <c r="B28" s="105"/>
      <c r="C28" s="105"/>
      <c r="D28" s="105"/>
      <c r="E28" s="105"/>
      <c r="F28" s="105"/>
      <c r="G28" s="105"/>
      <c r="H28" s="105"/>
      <c r="J28" s="153"/>
      <c r="K28" s="153"/>
      <c r="L28" s="157"/>
      <c r="M28" s="157"/>
      <c r="N28" s="157"/>
      <c r="O28" s="157"/>
      <c r="P28" s="157"/>
      <c r="Q28" s="157"/>
      <c r="R28" s="153"/>
      <c r="S28" s="153"/>
      <c r="U28" s="47"/>
    </row>
    <row r="29" spans="2:21" s="84" customFormat="1" ht="8.25" customHeight="1" x14ac:dyDescent="0.25">
      <c r="B29" s="105"/>
      <c r="G29" s="105"/>
      <c r="H29" s="105"/>
      <c r="J29" s="153"/>
      <c r="K29" s="153"/>
      <c r="L29" s="153"/>
      <c r="M29" s="153"/>
      <c r="N29" s="153"/>
      <c r="O29" s="154"/>
      <c r="P29" s="154"/>
      <c r="Q29" s="153"/>
      <c r="R29" s="153"/>
      <c r="S29" s="153"/>
      <c r="U29" s="47"/>
    </row>
    <row r="30" spans="2:21" s="84" customFormat="1" ht="15.75" x14ac:dyDescent="0.25">
      <c r="B30" s="105"/>
      <c r="C30" s="105" t="s">
        <v>45</v>
      </c>
      <c r="D30" s="110" t="s">
        <v>46</v>
      </c>
      <c r="E30" s="105"/>
      <c r="F30" s="105"/>
      <c r="G30" s="111"/>
      <c r="H30" s="47"/>
      <c r="I30" s="47"/>
      <c r="J30" s="153"/>
      <c r="K30" s="91"/>
      <c r="L30" s="153"/>
      <c r="M30" s="153"/>
      <c r="N30" s="153"/>
      <c r="O30" s="154"/>
      <c r="P30" s="154"/>
      <c r="Q30" s="153"/>
      <c r="R30" s="153"/>
      <c r="S30" s="153"/>
      <c r="T30" s="47"/>
      <c r="U30" s="47"/>
    </row>
    <row r="31" spans="2:21" ht="6" customHeight="1" x14ac:dyDescent="0.25">
      <c r="G31" s="111"/>
    </row>
    <row r="32" spans="2:21" ht="15.75" x14ac:dyDescent="0.25">
      <c r="C32" s="113" t="s">
        <v>59</v>
      </c>
      <c r="D32" s="113"/>
      <c r="E32" s="111"/>
      <c r="F32" s="111"/>
      <c r="G32" s="111"/>
      <c r="Q32" s="84"/>
      <c r="U32" s="84"/>
    </row>
    <row r="33" spans="1:32" ht="15.75" x14ac:dyDescent="0.25">
      <c r="C33" s="113" t="s">
        <v>47</v>
      </c>
      <c r="D33" s="111"/>
      <c r="E33" s="111"/>
      <c r="F33" s="111"/>
      <c r="U33" s="84"/>
    </row>
    <row r="34" spans="1:32" ht="15.75" x14ac:dyDescent="0.25">
      <c r="C34" s="114" t="s">
        <v>60</v>
      </c>
      <c r="D34" s="111"/>
      <c r="G34" s="84"/>
      <c r="H34" s="84"/>
      <c r="I34" s="84"/>
      <c r="K34" s="84"/>
    </row>
    <row r="35" spans="1:32" s="84" customFormat="1" ht="15.75" x14ac:dyDescent="0.25">
      <c r="C35" s="47"/>
      <c r="D35" s="47"/>
      <c r="E35" s="47"/>
      <c r="F35" s="47"/>
      <c r="G35" s="47"/>
      <c r="H35" s="47"/>
      <c r="I35" s="47"/>
      <c r="K35" s="47"/>
      <c r="O35" s="112"/>
      <c r="Q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12"/>
      <c r="AF35" s="112"/>
    </row>
    <row r="37" spans="1:32" hidden="1" x14ac:dyDescent="0.25"/>
    <row r="38" spans="1:32" hidden="1" x14ac:dyDescent="0.25"/>
    <row r="39" spans="1:32" s="84" customFormat="1" ht="15.75" hidden="1" x14ac:dyDescent="0.25">
      <c r="A39" s="47"/>
      <c r="B39" s="47"/>
      <c r="C39" s="115" t="s">
        <v>27</v>
      </c>
      <c r="D39" s="196" t="s">
        <v>22</v>
      </c>
      <c r="E39" s="197"/>
      <c r="F39" s="197"/>
      <c r="G39" s="197"/>
      <c r="H39" s="198"/>
      <c r="I39" s="47"/>
      <c r="J39" s="47"/>
      <c r="K39" s="47"/>
      <c r="L39" s="47"/>
      <c r="M39" s="11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17" t="s">
        <v>23</v>
      </c>
      <c r="Z39" s="118"/>
      <c r="AA39" s="118"/>
      <c r="AB39" s="118"/>
      <c r="AC39" s="118"/>
      <c r="AD39" s="119"/>
      <c r="AE39" s="47"/>
      <c r="AF39" s="112"/>
    </row>
    <row r="40" spans="1:32" hidden="1" x14ac:dyDescent="0.25">
      <c r="A40" s="120"/>
      <c r="B40" s="115" t="s">
        <v>28</v>
      </c>
      <c r="C40" s="121">
        <f>IMARGUMENT(D40)/2/PI()*24</f>
        <v>-11.858741737804076</v>
      </c>
      <c r="D40" s="196" t="str">
        <f>Y52</f>
        <v>-13,9778464562229-0,51715508291878i</v>
      </c>
      <c r="E40" s="197"/>
      <c r="F40" s="197"/>
      <c r="G40" s="197"/>
      <c r="H40" s="198"/>
      <c r="J40" s="122" t="s">
        <v>3</v>
      </c>
      <c r="K40" s="123" t="s">
        <v>4</v>
      </c>
      <c r="L40" s="123" t="str">
        <f>"-delta/(2l)"</f>
        <v>-delta/(2l)</v>
      </c>
      <c r="M40" s="123" t="str">
        <f>"-l/delta"</f>
        <v>-l/delta</v>
      </c>
      <c r="N40" s="123" t="s">
        <v>5</v>
      </c>
      <c r="O40" s="123" t="s">
        <v>6</v>
      </c>
      <c r="P40" s="123" t="s">
        <v>7</v>
      </c>
      <c r="Q40" s="123" t="s">
        <v>8</v>
      </c>
      <c r="R40" s="123" t="s">
        <v>9</v>
      </c>
      <c r="S40" s="123" t="s">
        <v>10</v>
      </c>
      <c r="T40" s="123" t="s">
        <v>11</v>
      </c>
      <c r="U40" s="123" t="s">
        <v>12</v>
      </c>
      <c r="V40" s="123" t="s">
        <v>13</v>
      </c>
      <c r="W40" s="124"/>
      <c r="Y40" s="125" t="s">
        <v>11</v>
      </c>
      <c r="Z40" s="90" t="s">
        <v>12</v>
      </c>
      <c r="AA40" s="90" t="s">
        <v>13</v>
      </c>
      <c r="AB40" s="90" t="s">
        <v>16</v>
      </c>
      <c r="AC40" s="90"/>
      <c r="AD40" s="126"/>
    </row>
    <row r="41" spans="1:32" hidden="1" x14ac:dyDescent="0.25">
      <c r="A41" s="127" t="s">
        <v>11</v>
      </c>
      <c r="B41" s="121">
        <f>IMABS(D40)</f>
        <v>13.987410086700534</v>
      </c>
      <c r="C41" s="121">
        <f>IMARGUMENT(D41)/2/PI()*24</f>
        <v>0.99235197412489684</v>
      </c>
      <c r="D41" s="196" t="str">
        <f>AA52</f>
        <v>80,2783650810521+21,3383375910332i</v>
      </c>
      <c r="E41" s="197"/>
      <c r="F41" s="197"/>
      <c r="G41" s="197"/>
      <c r="H41" s="198"/>
      <c r="J41" s="128"/>
      <c r="K41" s="129"/>
      <c r="L41" s="129"/>
      <c r="M41" s="130"/>
      <c r="N41" s="129"/>
      <c r="O41" s="129"/>
      <c r="P41" s="129"/>
      <c r="Q41" s="129"/>
      <c r="R41" s="129"/>
      <c r="S41" s="129"/>
      <c r="T41" s="129"/>
      <c r="U41" s="129"/>
      <c r="V41" s="129"/>
      <c r="W41" s="131"/>
      <c r="Y41" s="54" t="str">
        <f>COMPLEX(1,0)</f>
        <v>1</v>
      </c>
      <c r="Z41" s="91" t="str">
        <f>COMPLEX(-H7,0)</f>
        <v>-0,13</v>
      </c>
      <c r="AA41" s="91" t="str">
        <f>COMPLEX(0,0)</f>
        <v>0</v>
      </c>
      <c r="AB41" s="91" t="str">
        <f>COMPLEX(1,0)</f>
        <v>1</v>
      </c>
      <c r="AC41" s="91"/>
      <c r="AD41" s="58"/>
    </row>
    <row r="42" spans="1:32" hidden="1" x14ac:dyDescent="0.25">
      <c r="A42" s="127" t="s">
        <v>13</v>
      </c>
      <c r="B42" s="121">
        <f>IMABS(D41)</f>
        <v>83.065880788899037</v>
      </c>
      <c r="C42" s="121">
        <f>IMARGUMENT(D42)/2/PI()*24</f>
        <v>-3.8911826439523658</v>
      </c>
      <c r="D42" s="192" t="str">
        <f>Z52</f>
        <v>8,66054454536905-14,0597700973338i</v>
      </c>
      <c r="E42" s="192"/>
      <c r="F42" s="192"/>
      <c r="G42" s="192"/>
      <c r="H42" s="192"/>
      <c r="J42" s="128">
        <f t="shared" ref="J42:J51" si="1">IF(AND(D8&gt;0,E8&gt;0,F8&gt;0),SQRT((D8*24*3600)/(PI()*E8*F8)),0)</f>
        <v>0.14361922094451576</v>
      </c>
      <c r="K42" s="129">
        <f t="shared" ref="K42:K51" si="2">IF(AND(D8&gt;0,E8&gt;0,F8&gt;0),G8/J42,0)</f>
        <v>1.3925712636838892</v>
      </c>
      <c r="L42" s="129">
        <f t="shared" ref="L42:L51" si="3">IF(J42&lt;&gt;0,-J42/(2*D8),0)</f>
        <v>-3.9894228040143268E-2</v>
      </c>
      <c r="M42" s="129">
        <f t="shared" ref="M42:M51" si="4">IF(D8&lt;&gt;0,-D8/J42,0)</f>
        <v>-12.533141373155003</v>
      </c>
      <c r="N42" s="129">
        <f>COSH(K42)*COS(K42)</f>
        <v>0.37882035596621638</v>
      </c>
      <c r="O42" s="129">
        <f>SINH(K42)*SIN(K42)</f>
        <v>1.8584634039622401</v>
      </c>
      <c r="P42" s="129">
        <f>L42*(SINH(K42)*COS(K42)+COSH(K42)*SIN(K42))</f>
        <v>-9.7251786295199899E-2</v>
      </c>
      <c r="Q42" s="129">
        <f>L42*(COSH(K42)*SIN(K42)-SINH(K42)*COS(K42))</f>
        <v>-7.0540452414408358E-2</v>
      </c>
      <c r="R42" s="129">
        <f>M42*(SINH(K42)*COS(K42)-COSH(K42)*SIN(K42))</f>
        <v>22.160936708600566</v>
      </c>
      <c r="S42" s="129">
        <f>M42*(SINH(K42)*COS(K42)+COSH(K42)*SIN(K42))</f>
        <v>-30.552549737348453</v>
      </c>
      <c r="T42" s="129" t="str">
        <f>COMPLEX(N42,O42)</f>
        <v>0,378820355966216+1,85846340396224i</v>
      </c>
      <c r="U42" s="129" t="str">
        <f>COMPLEX(P42,Q42)</f>
        <v>-0,0972517862951999-0,0705404524144084i</v>
      </c>
      <c r="V42" s="129" t="str">
        <f>COMPLEX(R42,S42)</f>
        <v>22,1609367086006-30,5525497373485i</v>
      </c>
      <c r="W42" s="131"/>
      <c r="Y42" s="54" t="str">
        <f>IMSUM(IMPRODUCT(Y41,T42),IMPRODUCT(Z41,V42))</f>
        <v>-2,50210141615186+5,83029486981754i</v>
      </c>
      <c r="Z42" s="91" t="str">
        <f>IMSUM(IMPRODUCT(Y41,U42),IMPRODUCT(Z41,T42))</f>
        <v>-0,146498432570808-0,312140694929499i</v>
      </c>
      <c r="AA42" s="91" t="str">
        <f>IMSUM(IMPRODUCT(AB41,V42),IMPRODUCT(AA41,T42))</f>
        <v>22,1609367086006-30,5525497373485i</v>
      </c>
      <c r="AB42" s="91" t="str">
        <f>IMSUM(IMPRODUCT(AA41,U42),IMPRODUCT(AB41,T42))</f>
        <v>0,378820355966216+1,85846340396224i</v>
      </c>
      <c r="AC42" s="91"/>
      <c r="AD42" s="58"/>
    </row>
    <row r="43" spans="1:32" hidden="1" x14ac:dyDescent="0.25">
      <c r="A43" s="127" t="s">
        <v>12</v>
      </c>
      <c r="B43" s="121">
        <f>IMABS(D42)</f>
        <v>16.513090777083594</v>
      </c>
      <c r="C43" s="121">
        <f>IMARGUMENT(D43)/2/PI()*24</f>
        <v>8.9618263056808942</v>
      </c>
      <c r="D43" s="192" t="str">
        <f>AB52</f>
        <v>-68,6822511492357+70,0689560408111i</v>
      </c>
      <c r="E43" s="192"/>
      <c r="F43" s="192"/>
      <c r="G43" s="192"/>
      <c r="H43" s="192"/>
      <c r="J43" s="128">
        <f t="shared" si="1"/>
        <v>0.1618405275227365</v>
      </c>
      <c r="K43" s="129">
        <f t="shared" si="2"/>
        <v>0.61789220247043064</v>
      </c>
      <c r="L43" s="129">
        <f t="shared" si="3"/>
        <v>-2.0230065940342064</v>
      </c>
      <c r="M43" s="129">
        <f t="shared" si="4"/>
        <v>-0.24715688098817223</v>
      </c>
      <c r="N43" s="129">
        <f t="shared" ref="N43:N51" si="5">COSH(K43)*COS(K43)</f>
        <v>0.97571439851246911</v>
      </c>
      <c r="O43" s="129">
        <f t="shared" ref="O43:O51" si="6">SINH(K43)*SIN(K43)</f>
        <v>0.38117249624164051</v>
      </c>
      <c r="P43" s="129">
        <f t="shared" ref="P43:P51" si="7">L43*(SINH(K43)*COS(K43)+COSH(K43)*SIN(K43))</f>
        <v>-2.4878553257327152</v>
      </c>
      <c r="Q43" s="129">
        <f t="shared" ref="Q43:Q51" si="8">L43*(COSH(K43)*SIN(K43)-SINH(K43)*COS(K43))</f>
        <v>-0.31793815549825755</v>
      </c>
      <c r="R43" s="129">
        <f t="shared" ref="R43:R51" si="9">M43*(SINH(K43)*COS(K43)-COSH(K43)*SIN(K43))</f>
        <v>3.8843473418136147E-2</v>
      </c>
      <c r="S43" s="129">
        <f t="shared" ref="S43:S51" si="10">M43*(SINH(K43)*COS(K43)+COSH(K43)*SIN(K43))</f>
        <v>-0.30394886723118325</v>
      </c>
      <c r="T43" s="129" t="str">
        <f t="shared" ref="T43" si="11">COMPLEX(N43,O43)</f>
        <v>0,975714398512469+0,381172496241641i</v>
      </c>
      <c r="U43" s="129" t="str">
        <f t="shared" ref="U43:U51" si="12">COMPLEX(P43,Q43)</f>
        <v>-2,48785532573272-0,317938155498258i</v>
      </c>
      <c r="V43" s="129" t="str">
        <f t="shared" ref="V43:V51" si="13">COMPLEX(R43,S43)</f>
        <v>0,0388434734181361-0,303948867231183i</v>
      </c>
      <c r="W43" s="131"/>
      <c r="Y43" s="54" t="str">
        <f t="shared" ref="Y43:Y52" si="14">IMSUM(IMPRODUCT(Y42,T43),IMPRODUCT(Z42,V43))</f>
        <v>-4,76424974624293+4,76737381325484i</v>
      </c>
      <c r="Z43" s="91" t="str">
        <f t="shared" ref="Z43:Z52" si="15">IMSUM(IMPRODUCT(Y42,U43),IMPRODUCT(Z42,T43))</f>
        <v>8,05457834846356-14,0698179769897i</v>
      </c>
      <c r="AA43" s="91" t="str">
        <f t="shared" ref="AA43:AA52" si="16">IMSUM(IMPRODUCT(AB42,V43),IMPRODUCT(AA42,T43))</f>
        <v>33,8481292258893-21,4063759699787i</v>
      </c>
      <c r="AB43" s="91" t="str">
        <f>IMSUM(IMPRODUCT(AA42,U43),IMPRODUCT(AB42,T43))</f>
        <v>-65,1858003820753+70,9222416405954i</v>
      </c>
      <c r="AC43" s="91"/>
      <c r="AD43" s="58"/>
    </row>
    <row r="44" spans="1:32" hidden="1" x14ac:dyDescent="0.25">
      <c r="A44" s="127" t="s">
        <v>16</v>
      </c>
      <c r="B44" s="121">
        <f>IMABS(D43)</f>
        <v>98.116819269561574</v>
      </c>
      <c r="C44" s="115"/>
      <c r="D44" s="192"/>
      <c r="E44" s="192"/>
      <c r="F44" s="192"/>
      <c r="G44" s="192"/>
      <c r="H44" s="192"/>
      <c r="J44" s="128">
        <f t="shared" si="1"/>
        <v>0.12360774464742066</v>
      </c>
      <c r="K44" s="129">
        <f t="shared" si="2"/>
        <v>4.0450539844910399E-2</v>
      </c>
      <c r="L44" s="129">
        <f t="shared" si="3"/>
        <v>-6.1803872323710332E-2</v>
      </c>
      <c r="M44" s="129">
        <f t="shared" si="4"/>
        <v>-8.0901079689820801</v>
      </c>
      <c r="N44" s="129">
        <f t="shared" si="5"/>
        <v>0.99999955378307925</v>
      </c>
      <c r="O44" s="129">
        <f t="shared" si="6"/>
        <v>1.6362461250699683E-3</v>
      </c>
      <c r="P44" s="129">
        <f t="shared" si="7"/>
        <v>-4.9999995537830773E-3</v>
      </c>
      <c r="Q44" s="129">
        <f t="shared" si="8"/>
        <v>-2.7270769214734585E-6</v>
      </c>
      <c r="R44" s="129">
        <f t="shared" si="9"/>
        <v>3.5697353426147031E-4</v>
      </c>
      <c r="S44" s="129">
        <f t="shared" si="10"/>
        <v>-0.65449841108821494</v>
      </c>
      <c r="T44" s="129" t="str">
        <f>COMPLEX(N44,O44)</f>
        <v>0,999999553783079+0,00163624612506997i</v>
      </c>
      <c r="U44" s="129" t="str">
        <f t="shared" si="12"/>
        <v>-0,00499999955378308-2,72707692147346E-06i</v>
      </c>
      <c r="V44" s="129" t="str">
        <f t="shared" si="13"/>
        <v>0,00035697353426147-0,654498411088215i</v>
      </c>
      <c r="W44" s="131"/>
      <c r="Y44" s="54" t="str">
        <f t="shared" si="14"/>
        <v>-13,9778464562229-0,51715508291878i</v>
      </c>
      <c r="Z44" s="91" t="str">
        <f t="shared" si="15"/>
        <v>8,10143068712013-14,0804563006506i</v>
      </c>
      <c r="AA44" s="91" t="str">
        <f t="shared" si="16"/>
        <v>80,2783650810521+21,3383375910332i</v>
      </c>
      <c r="AB44" s="91" t="str">
        <f t="shared" ref="AB44:AB52" si="17">IMSUM(IMPRODUCT(AA43,U44),IMPRODUCT(AB43,T44))</f>
        <v>-65,4711165459936+70,9224895444524i</v>
      </c>
      <c r="AC44" s="91"/>
      <c r="AD44" s="58"/>
    </row>
    <row r="45" spans="1:32" ht="15.75" hidden="1" x14ac:dyDescent="0.25">
      <c r="A45" s="127"/>
      <c r="B45" s="115"/>
      <c r="C45" s="132">
        <f>IMARGUMENT(D45)/2/PI()*24</f>
        <v>4.0324409061482926</v>
      </c>
      <c r="D45" s="194" t="str">
        <f>IMPRODUCT(IMDIV(D40,D42),COMPLEX(-1,0))</f>
        <v>0,417279507342515+0,737137138321967i</v>
      </c>
      <c r="E45" s="194"/>
      <c r="F45" s="194"/>
      <c r="G45" s="194"/>
      <c r="H45" s="194"/>
      <c r="J45" s="128">
        <f t="shared" si="1"/>
        <v>0</v>
      </c>
      <c r="K45" s="129">
        <f t="shared" si="2"/>
        <v>0</v>
      </c>
      <c r="L45" s="129">
        <f t="shared" si="3"/>
        <v>0</v>
      </c>
      <c r="M45" s="129">
        <f t="shared" si="4"/>
        <v>0</v>
      </c>
      <c r="N45" s="129">
        <f t="shared" si="5"/>
        <v>1</v>
      </c>
      <c r="O45" s="129">
        <f t="shared" si="6"/>
        <v>0</v>
      </c>
      <c r="P45" s="129">
        <f t="shared" si="7"/>
        <v>0</v>
      </c>
      <c r="Q45" s="129">
        <f t="shared" si="8"/>
        <v>0</v>
      </c>
      <c r="R45" s="129">
        <f t="shared" si="9"/>
        <v>0</v>
      </c>
      <c r="S45" s="129">
        <f t="shared" si="10"/>
        <v>0</v>
      </c>
      <c r="T45" s="129" t="str">
        <f t="shared" ref="T45:T51" si="18">COMPLEX(N45,O45)</f>
        <v>1</v>
      </c>
      <c r="U45" s="129" t="str">
        <f t="shared" si="12"/>
        <v>0</v>
      </c>
      <c r="V45" s="129" t="str">
        <f t="shared" si="13"/>
        <v>0</v>
      </c>
      <c r="W45" s="131"/>
      <c r="Y45" s="54" t="str">
        <f t="shared" si="14"/>
        <v>-13,9778464562229-0,51715508291878i</v>
      </c>
      <c r="Z45" s="91" t="str">
        <f t="shared" si="15"/>
        <v>8,10143068712013-14,0804563006506i</v>
      </c>
      <c r="AA45" s="91" t="str">
        <f t="shared" si="16"/>
        <v>80,2783650810521+21,3383375910332i</v>
      </c>
      <c r="AB45" s="91" t="str">
        <f t="shared" si="17"/>
        <v>-65,4711165459936+70,9224895444524i</v>
      </c>
      <c r="AC45" s="91"/>
      <c r="AD45" s="58"/>
    </row>
    <row r="46" spans="1:32" ht="15.75" hidden="1" x14ac:dyDescent="0.25">
      <c r="A46" s="133" t="s">
        <v>14</v>
      </c>
      <c r="B46" s="132">
        <f>IMABS(D45)</f>
        <v>0.84704979070979702</v>
      </c>
      <c r="C46" s="134">
        <f>IMARGUMENT(D46)/2/PI()*24</f>
        <v>0.85300894963325824</v>
      </c>
      <c r="D46" s="191" t="str">
        <f>IMPRODUCT(IMDIV(D43,D42),COMPLEX(-1,0))</f>
        <v>5,79421502242009+1,31589590114481i</v>
      </c>
      <c r="E46" s="191"/>
      <c r="F46" s="191"/>
      <c r="G46" s="191"/>
      <c r="H46" s="191"/>
      <c r="I46" s="135"/>
      <c r="J46" s="128">
        <f t="shared" si="1"/>
        <v>0</v>
      </c>
      <c r="K46" s="129">
        <f t="shared" si="2"/>
        <v>0</v>
      </c>
      <c r="L46" s="129">
        <f t="shared" si="3"/>
        <v>0</v>
      </c>
      <c r="M46" s="129">
        <f t="shared" si="4"/>
        <v>0</v>
      </c>
      <c r="N46" s="129">
        <f t="shared" si="5"/>
        <v>1</v>
      </c>
      <c r="O46" s="129">
        <f t="shared" si="6"/>
        <v>0</v>
      </c>
      <c r="P46" s="129">
        <f t="shared" si="7"/>
        <v>0</v>
      </c>
      <c r="Q46" s="129">
        <f t="shared" si="8"/>
        <v>0</v>
      </c>
      <c r="R46" s="129">
        <f t="shared" si="9"/>
        <v>0</v>
      </c>
      <c r="S46" s="129">
        <f t="shared" si="10"/>
        <v>0</v>
      </c>
      <c r="T46" s="129" t="str">
        <f t="shared" si="18"/>
        <v>1</v>
      </c>
      <c r="U46" s="129" t="str">
        <f t="shared" si="12"/>
        <v>0</v>
      </c>
      <c r="V46" s="129" t="str">
        <f t="shared" si="13"/>
        <v>0</v>
      </c>
      <c r="W46" s="131"/>
      <c r="Y46" s="54" t="str">
        <f t="shared" si="14"/>
        <v>-13,9778464562229-0,51715508291878i</v>
      </c>
      <c r="Z46" s="91" t="str">
        <f t="shared" si="15"/>
        <v>8,10143068712013-14,0804563006506i</v>
      </c>
      <c r="AA46" s="91" t="str">
        <f t="shared" si="16"/>
        <v>80,2783650810521+21,3383375910332i</v>
      </c>
      <c r="AB46" s="91" t="str">
        <f t="shared" si="17"/>
        <v>-65,4711165459936+70,9224895444524i</v>
      </c>
      <c r="AC46" s="91"/>
      <c r="AD46" s="58"/>
    </row>
    <row r="47" spans="1:32" ht="15.75" hidden="1" x14ac:dyDescent="0.25">
      <c r="A47" s="136" t="s">
        <v>15</v>
      </c>
      <c r="B47" s="134">
        <f>IMABS(D46)</f>
        <v>5.9417598191687588</v>
      </c>
      <c r="C47" s="137">
        <f>IMARGUMENT(D47)/2/PI()*24-12</f>
        <v>-8.1088173560476378</v>
      </c>
      <c r="D47" s="195" t="str">
        <f>IMDIV(COMPLEX(1,0),D42)</f>
        <v>0,0317605828069478+0,0515610179110267i</v>
      </c>
      <c r="E47" s="195"/>
      <c r="F47" s="195"/>
      <c r="G47" s="195"/>
      <c r="H47" s="195"/>
      <c r="I47" s="138"/>
      <c r="J47" s="128">
        <f t="shared" si="1"/>
        <v>0</v>
      </c>
      <c r="K47" s="129">
        <f t="shared" si="2"/>
        <v>0</v>
      </c>
      <c r="L47" s="129">
        <f t="shared" si="3"/>
        <v>0</v>
      </c>
      <c r="M47" s="129">
        <f t="shared" si="4"/>
        <v>0</v>
      </c>
      <c r="N47" s="129">
        <f t="shared" si="5"/>
        <v>1</v>
      </c>
      <c r="O47" s="129">
        <f t="shared" si="6"/>
        <v>0</v>
      </c>
      <c r="P47" s="129">
        <f t="shared" si="7"/>
        <v>0</v>
      </c>
      <c r="Q47" s="129">
        <f t="shared" si="8"/>
        <v>0</v>
      </c>
      <c r="R47" s="129">
        <f t="shared" si="9"/>
        <v>0</v>
      </c>
      <c r="S47" s="129">
        <f t="shared" si="10"/>
        <v>0</v>
      </c>
      <c r="T47" s="129" t="str">
        <f t="shared" si="18"/>
        <v>1</v>
      </c>
      <c r="U47" s="129" t="str">
        <f t="shared" si="12"/>
        <v>0</v>
      </c>
      <c r="V47" s="129" t="str">
        <f t="shared" si="13"/>
        <v>0</v>
      </c>
      <c r="W47" s="131"/>
      <c r="Y47" s="54" t="str">
        <f t="shared" si="14"/>
        <v>-13,9778464562229-0,51715508291878i</v>
      </c>
      <c r="Z47" s="91" t="str">
        <f t="shared" si="15"/>
        <v>8,10143068712013-14,0804563006506i</v>
      </c>
      <c r="AA47" s="91" t="str">
        <f t="shared" si="16"/>
        <v>80,2783650810521+21,3383375910332i</v>
      </c>
      <c r="AB47" s="91" t="str">
        <f t="shared" si="17"/>
        <v>-65,4711165459936+70,9224895444524i</v>
      </c>
      <c r="AC47" s="91"/>
      <c r="AD47" s="58"/>
    </row>
    <row r="48" spans="1:32" s="84" customFormat="1" ht="15.75" hidden="1" x14ac:dyDescent="0.25">
      <c r="A48" s="139" t="s">
        <v>19</v>
      </c>
      <c r="B48" s="137">
        <f>IMABS(D47)</f>
        <v>6.0558015062072534E-2</v>
      </c>
      <c r="C48" s="115"/>
      <c r="D48" s="192"/>
      <c r="E48" s="192"/>
      <c r="F48" s="192"/>
      <c r="G48" s="192"/>
      <c r="H48" s="192"/>
      <c r="I48" s="112"/>
      <c r="J48" s="128">
        <f t="shared" si="1"/>
        <v>0</v>
      </c>
      <c r="K48" s="129">
        <f t="shared" si="2"/>
        <v>0</v>
      </c>
      <c r="L48" s="129">
        <f t="shared" si="3"/>
        <v>0</v>
      </c>
      <c r="M48" s="129">
        <f t="shared" si="4"/>
        <v>0</v>
      </c>
      <c r="N48" s="129">
        <f t="shared" si="5"/>
        <v>1</v>
      </c>
      <c r="O48" s="129">
        <f t="shared" si="6"/>
        <v>0</v>
      </c>
      <c r="P48" s="129">
        <f t="shared" si="7"/>
        <v>0</v>
      </c>
      <c r="Q48" s="129">
        <f t="shared" si="8"/>
        <v>0</v>
      </c>
      <c r="R48" s="129">
        <f t="shared" si="9"/>
        <v>0</v>
      </c>
      <c r="S48" s="129">
        <f t="shared" si="10"/>
        <v>0</v>
      </c>
      <c r="T48" s="129" t="str">
        <f t="shared" si="18"/>
        <v>1</v>
      </c>
      <c r="U48" s="129" t="str">
        <f t="shared" si="12"/>
        <v>0</v>
      </c>
      <c r="V48" s="129" t="str">
        <f t="shared" si="13"/>
        <v>0</v>
      </c>
      <c r="W48" s="131"/>
      <c r="X48" s="47"/>
      <c r="Y48" s="54" t="str">
        <f t="shared" si="14"/>
        <v>-13,9778464562229-0,51715508291878i</v>
      </c>
      <c r="Z48" s="91" t="str">
        <f t="shared" si="15"/>
        <v>8,10143068712013-14,0804563006506i</v>
      </c>
      <c r="AA48" s="91" t="str">
        <f t="shared" si="16"/>
        <v>80,2783650810521+21,3383375910332i</v>
      </c>
      <c r="AB48" s="91" t="str">
        <f t="shared" si="17"/>
        <v>-65,4711165459936+70,9224895444524i</v>
      </c>
      <c r="AC48" s="91"/>
      <c r="AD48" s="58"/>
      <c r="AE48" s="47"/>
    </row>
    <row r="49" spans="1:31" hidden="1" x14ac:dyDescent="0.25">
      <c r="A49" s="127"/>
      <c r="B49" s="115"/>
      <c r="C49" s="115"/>
      <c r="D49" s="192"/>
      <c r="E49" s="192"/>
      <c r="F49" s="192"/>
      <c r="G49" s="192"/>
      <c r="H49" s="192"/>
      <c r="J49" s="128">
        <f t="shared" si="1"/>
        <v>0</v>
      </c>
      <c r="K49" s="129">
        <f t="shared" si="2"/>
        <v>0</v>
      </c>
      <c r="L49" s="129">
        <f t="shared" si="3"/>
        <v>0</v>
      </c>
      <c r="M49" s="129">
        <f t="shared" si="4"/>
        <v>0</v>
      </c>
      <c r="N49" s="129">
        <f t="shared" si="5"/>
        <v>1</v>
      </c>
      <c r="O49" s="129">
        <f t="shared" si="6"/>
        <v>0</v>
      </c>
      <c r="P49" s="129">
        <f t="shared" si="7"/>
        <v>0</v>
      </c>
      <c r="Q49" s="129">
        <f t="shared" si="8"/>
        <v>0</v>
      </c>
      <c r="R49" s="129">
        <f t="shared" si="9"/>
        <v>0</v>
      </c>
      <c r="S49" s="129">
        <f t="shared" si="10"/>
        <v>0</v>
      </c>
      <c r="T49" s="129" t="str">
        <f t="shared" si="18"/>
        <v>1</v>
      </c>
      <c r="U49" s="129" t="str">
        <f t="shared" si="12"/>
        <v>0</v>
      </c>
      <c r="V49" s="129" t="str">
        <f t="shared" si="13"/>
        <v>0</v>
      </c>
      <c r="W49" s="131"/>
      <c r="Y49" s="54" t="str">
        <f t="shared" si="14"/>
        <v>-13,9778464562229-0,51715508291878i</v>
      </c>
      <c r="Z49" s="91" t="str">
        <f t="shared" si="15"/>
        <v>8,10143068712013-14,0804563006506i</v>
      </c>
      <c r="AA49" s="91" t="str">
        <f t="shared" si="16"/>
        <v>80,2783650810521+21,3383375910332i</v>
      </c>
      <c r="AB49" s="91" t="str">
        <f t="shared" si="17"/>
        <v>-65,4711165459936+70,9224895444524i</v>
      </c>
      <c r="AC49" s="91"/>
      <c r="AD49" s="58"/>
    </row>
    <row r="50" spans="1:31" hidden="1" x14ac:dyDescent="0.25">
      <c r="A50" s="127"/>
      <c r="B50" s="115"/>
      <c r="C50" s="140"/>
      <c r="D50" s="190" t="str">
        <f>IMSUM(D40,COMPLEX(-1,0))</f>
        <v>-14,9778464562229-0,51715508291878i</v>
      </c>
      <c r="E50" s="190"/>
      <c r="F50" s="190"/>
      <c r="G50" s="190"/>
      <c r="H50" s="190"/>
      <c r="J50" s="128">
        <f t="shared" si="1"/>
        <v>0</v>
      </c>
      <c r="K50" s="129">
        <f t="shared" si="2"/>
        <v>0</v>
      </c>
      <c r="L50" s="129">
        <f t="shared" si="3"/>
        <v>0</v>
      </c>
      <c r="M50" s="129">
        <f t="shared" si="4"/>
        <v>0</v>
      </c>
      <c r="N50" s="129">
        <f t="shared" si="5"/>
        <v>1</v>
      </c>
      <c r="O50" s="129">
        <f t="shared" si="6"/>
        <v>0</v>
      </c>
      <c r="P50" s="129">
        <f t="shared" si="7"/>
        <v>0</v>
      </c>
      <c r="Q50" s="129">
        <f t="shared" si="8"/>
        <v>0</v>
      </c>
      <c r="R50" s="129">
        <f t="shared" si="9"/>
        <v>0</v>
      </c>
      <c r="S50" s="129">
        <f t="shared" si="10"/>
        <v>0</v>
      </c>
      <c r="T50" s="129" t="str">
        <f t="shared" si="18"/>
        <v>1</v>
      </c>
      <c r="U50" s="129" t="str">
        <f t="shared" si="12"/>
        <v>0</v>
      </c>
      <c r="V50" s="129" t="str">
        <f t="shared" si="13"/>
        <v>0</v>
      </c>
      <c r="W50" s="131"/>
      <c r="Y50" s="54" t="str">
        <f t="shared" si="14"/>
        <v>-13,9778464562229-0,51715508291878i</v>
      </c>
      <c r="Z50" s="91" t="str">
        <f t="shared" si="15"/>
        <v>8,10143068712013-14,0804563006506i</v>
      </c>
      <c r="AA50" s="91" t="str">
        <f t="shared" si="16"/>
        <v>80,2783650810521+21,3383375910332i</v>
      </c>
      <c r="AB50" s="91" t="str">
        <f t="shared" si="17"/>
        <v>-65,4711165459936+70,9224895444524i</v>
      </c>
      <c r="AC50" s="91"/>
      <c r="AD50" s="58"/>
    </row>
    <row r="51" spans="1:31" hidden="1" x14ac:dyDescent="0.25">
      <c r="A51" s="141" t="s">
        <v>17</v>
      </c>
      <c r="B51" s="140"/>
      <c r="C51" s="140"/>
      <c r="D51" s="190" t="str">
        <f>D42</f>
        <v>8,66054454536905-14,0597700973338i</v>
      </c>
      <c r="E51" s="190"/>
      <c r="F51" s="190"/>
      <c r="G51" s="190"/>
      <c r="H51" s="190"/>
      <c r="J51" s="128">
        <f t="shared" si="1"/>
        <v>0</v>
      </c>
      <c r="K51" s="129">
        <f t="shared" si="2"/>
        <v>0</v>
      </c>
      <c r="L51" s="129">
        <f t="shared" si="3"/>
        <v>0</v>
      </c>
      <c r="M51" s="129">
        <f t="shared" si="4"/>
        <v>0</v>
      </c>
      <c r="N51" s="129">
        <f t="shared" si="5"/>
        <v>1</v>
      </c>
      <c r="O51" s="129">
        <f t="shared" si="6"/>
        <v>0</v>
      </c>
      <c r="P51" s="129">
        <f t="shared" si="7"/>
        <v>0</v>
      </c>
      <c r="Q51" s="129">
        <f t="shared" si="8"/>
        <v>0</v>
      </c>
      <c r="R51" s="129">
        <f t="shared" si="9"/>
        <v>0</v>
      </c>
      <c r="S51" s="129">
        <f t="shared" si="10"/>
        <v>0</v>
      </c>
      <c r="T51" s="129" t="str">
        <f t="shared" si="18"/>
        <v>1</v>
      </c>
      <c r="U51" s="129" t="str">
        <f t="shared" si="12"/>
        <v>0</v>
      </c>
      <c r="V51" s="129" t="str">
        <f t="shared" si="13"/>
        <v>0</v>
      </c>
      <c r="W51" s="131"/>
      <c r="Y51" s="54" t="str">
        <f t="shared" si="14"/>
        <v>-13,9778464562229-0,51715508291878i</v>
      </c>
      <c r="Z51" s="91" t="str">
        <f t="shared" si="15"/>
        <v>8,10143068712013-14,0804563006506i</v>
      </c>
      <c r="AA51" s="91" t="str">
        <f t="shared" si="16"/>
        <v>80,2783650810521+21,3383375910332i</v>
      </c>
      <c r="AB51" s="91" t="str">
        <f t="shared" si="17"/>
        <v>-65,4711165459936+70,9224895444524i</v>
      </c>
      <c r="AC51" s="91"/>
      <c r="AD51" s="58"/>
    </row>
    <row r="52" spans="1:31" ht="15.75" hidden="1" x14ac:dyDescent="0.25">
      <c r="A52" s="141"/>
      <c r="B52" s="140"/>
      <c r="C52" s="142">
        <f>IMARGUMENT(D52)/2/PI()*24</f>
        <v>-7.9769824846998905</v>
      </c>
      <c r="D52" s="193" t="str">
        <f>IMDIV(D50,D51)</f>
        <v>-0,449040090149463-0,788698156232993i</v>
      </c>
      <c r="E52" s="193"/>
      <c r="F52" s="193"/>
      <c r="G52" s="193"/>
      <c r="H52" s="193"/>
      <c r="J52" s="128"/>
      <c r="K52" s="129"/>
      <c r="L52" s="129"/>
      <c r="M52" s="129"/>
      <c r="N52" s="129"/>
      <c r="O52" s="129"/>
      <c r="P52" s="129"/>
      <c r="Q52" s="129"/>
      <c r="R52" s="129"/>
      <c r="S52" s="129"/>
      <c r="T52" s="129" t="str">
        <f>COMPLEX(1,0)</f>
        <v>1</v>
      </c>
      <c r="U52" s="129" t="str">
        <f>COMPLEX(-H18,0)</f>
        <v>-0,04</v>
      </c>
      <c r="V52" s="129" t="str">
        <f>COMPLEX(0,0)</f>
        <v>0</v>
      </c>
      <c r="W52" s="131"/>
      <c r="Y52" s="87" t="str">
        <f t="shared" si="14"/>
        <v>-13,9778464562229-0,51715508291878i</v>
      </c>
      <c r="Z52" s="88" t="str">
        <f t="shared" si="15"/>
        <v>8,66054454536905-14,0597700973338i</v>
      </c>
      <c r="AA52" s="88" t="str">
        <f t="shared" si="16"/>
        <v>80,2783650810521+21,3383375910332i</v>
      </c>
      <c r="AB52" s="88" t="str">
        <f t="shared" si="17"/>
        <v>-68,6822511492357+70,0689560408111i</v>
      </c>
      <c r="AC52" s="88"/>
      <c r="AD52" s="89"/>
    </row>
    <row r="53" spans="1:31" ht="15.75" hidden="1" x14ac:dyDescent="0.25">
      <c r="A53" s="143" t="s">
        <v>20</v>
      </c>
      <c r="B53" s="144">
        <f>IMABS(D52)*3600*24/2/PI()/1000</f>
        <v>12.479971826698097</v>
      </c>
      <c r="C53" s="115"/>
      <c r="D53" s="192"/>
      <c r="E53" s="192"/>
      <c r="F53" s="192"/>
      <c r="G53" s="192"/>
      <c r="H53" s="192"/>
      <c r="I53" s="145"/>
    </row>
    <row r="54" spans="1:31" ht="17.25" hidden="1" x14ac:dyDescent="0.3">
      <c r="A54" s="127"/>
      <c r="B54" s="115"/>
      <c r="C54" s="140"/>
      <c r="D54" s="190" t="str">
        <f>IMSUM(D43,COMPLEX(-1,0))</f>
        <v>-69,6822511492357+70,0689560408111i</v>
      </c>
      <c r="E54" s="190"/>
      <c r="F54" s="190"/>
      <c r="G54" s="190"/>
      <c r="H54" s="190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</row>
    <row r="55" spans="1:31" hidden="1" x14ac:dyDescent="0.25">
      <c r="A55" s="141" t="s">
        <v>18</v>
      </c>
      <c r="B55" s="140"/>
      <c r="C55" s="140"/>
      <c r="D55" s="190" t="str">
        <f>D42</f>
        <v>8,66054454536905-14,0597700973338i</v>
      </c>
      <c r="E55" s="190"/>
      <c r="F55" s="190"/>
      <c r="G55" s="190"/>
      <c r="H55" s="190"/>
    </row>
    <row r="56" spans="1:31" ht="15.75" hidden="1" x14ac:dyDescent="0.25">
      <c r="A56" s="141"/>
      <c r="B56" s="140"/>
      <c r="C56" s="146">
        <f>IMARGUMENT(D56)/2/PI()*24</f>
        <v>-11.119386854086581</v>
      </c>
      <c r="D56" s="191" t="str">
        <f>IMDIV(D54,D55)</f>
        <v>-5,82597560522704-1,36745691905584i</v>
      </c>
      <c r="E56" s="191"/>
      <c r="F56" s="191"/>
      <c r="G56" s="191"/>
      <c r="H56" s="191"/>
    </row>
    <row r="57" spans="1:31" ht="15.75" hidden="1" x14ac:dyDescent="0.25">
      <c r="A57" s="136" t="s">
        <v>21</v>
      </c>
      <c r="B57" s="147">
        <f>IMABS(D56)*3600*24/2/PI()/1000</f>
        <v>82.290128152756267</v>
      </c>
      <c r="I57" s="138"/>
    </row>
    <row r="58" spans="1:31" hidden="1" x14ac:dyDescent="0.25"/>
    <row r="59" spans="1:31" hidden="1" x14ac:dyDescent="0.25"/>
    <row r="62" spans="1:31" ht="15.75" x14ac:dyDescent="0.25">
      <c r="J62" s="112"/>
      <c r="K62" s="112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ht="15.75" x14ac:dyDescent="0.25">
      <c r="I63" s="112"/>
      <c r="J63" s="112"/>
      <c r="K63" s="112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ht="15.75" x14ac:dyDescent="0.25">
      <c r="J64" s="112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</row>
    <row r="65" spans="1:9" ht="15.75" x14ac:dyDescent="0.25">
      <c r="C65" s="84"/>
      <c r="D65" s="84"/>
      <c r="E65" s="84"/>
      <c r="F65" s="84"/>
      <c r="G65" s="84"/>
    </row>
    <row r="66" spans="1:9" ht="15.75" x14ac:dyDescent="0.25">
      <c r="A66" s="84"/>
      <c r="B66" s="84"/>
      <c r="I66" s="84"/>
    </row>
  </sheetData>
  <sheetProtection algorithmName="SHA-512" hashValue="OwmIlVHm8yXHyyxbphVNnQJl9vk3xDAyrkbi41HV1ixVyLze8Zsh5MDegnGsIiP2PBCzmHGrfjuCjWWA6a4uew==" saltValue="K8sKyUi1TZpH0DxcsRdI0g==" spinCount="100000" sheet="1" objects="1" scenarios="1"/>
  <mergeCells count="38">
    <mergeCell ref="O13:O14"/>
    <mergeCell ref="P13:P14"/>
    <mergeCell ref="O2:R2"/>
    <mergeCell ref="B3:D3"/>
    <mergeCell ref="L6:Q6"/>
    <mergeCell ref="L7:N7"/>
    <mergeCell ref="L8:N8"/>
    <mergeCell ref="L9:N9"/>
    <mergeCell ref="L25:N25"/>
    <mergeCell ref="L10:N10"/>
    <mergeCell ref="L11:N11"/>
    <mergeCell ref="L12:N12"/>
    <mergeCell ref="L13:N14"/>
    <mergeCell ref="L15:N16"/>
    <mergeCell ref="O15:O16"/>
    <mergeCell ref="P15:P16"/>
    <mergeCell ref="L17:N17"/>
    <mergeCell ref="L23:Q24"/>
    <mergeCell ref="D48:H48"/>
    <mergeCell ref="L26:N26"/>
    <mergeCell ref="L28:Q2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55:H55"/>
    <mergeCell ref="D56:H56"/>
    <mergeCell ref="D49:H49"/>
    <mergeCell ref="D50:H50"/>
    <mergeCell ref="D51:H51"/>
    <mergeCell ref="D52:H52"/>
    <mergeCell ref="D53:H53"/>
    <mergeCell ref="D54:H54"/>
  </mergeCells>
  <hyperlinks>
    <hyperlink ref="D30" r:id="rId1"/>
    <hyperlink ref="O2" r:id="rId2"/>
  </hyperlinks>
  <pageMargins left="0.70866141732283472" right="0.70866141732283472" top="0.78740157480314965" bottom="0.78740157480314965" header="0.31496062992125984" footer="0.31496062992125984"/>
  <pageSetup paperSize="9" scale="7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Rechner</vt:lpstr>
      <vt:lpstr>Validierungsbeispiel</vt:lpstr>
      <vt:lpstr>Rechner!Druckbereich</vt:lpstr>
      <vt:lpstr>Validierungsbeispiel!Druckbereich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Ruedisser (ruedisser)</dc:creator>
  <cp:lastModifiedBy>daniel</cp:lastModifiedBy>
  <cp:lastPrinted>2017-11-13T09:16:37Z</cp:lastPrinted>
  <dcterms:created xsi:type="dcterms:W3CDTF">2016-01-14T10:49:32Z</dcterms:created>
  <dcterms:modified xsi:type="dcterms:W3CDTF">2017-11-13T10:19:29Z</dcterms:modified>
</cp:coreProperties>
</file>